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770" activeTab="0"/>
  </bookViews>
  <sheets>
    <sheet name="入力表" sheetId="1" r:id="rId1"/>
    <sheet name="新13" sheetId="2" state="hidden" r:id="rId2"/>
    <sheet name="新20" sheetId="3" state="hidden" r:id="rId3"/>
    <sheet name="新25" sheetId="4" state="hidden" r:id="rId4"/>
    <sheet name="新30" sheetId="5" state="hidden" r:id="rId5"/>
    <sheet name="新40" sheetId="6" state="hidden" r:id="rId6"/>
    <sheet name="新50" sheetId="7" state="hidden" r:id="rId7"/>
    <sheet name="新75" sheetId="8" state="hidden" r:id="rId8"/>
    <sheet name="新100" sheetId="9" state="hidden" r:id="rId9"/>
    <sheet name="旧13" sheetId="10" state="hidden" r:id="rId10"/>
    <sheet name="旧20" sheetId="11" state="hidden" r:id="rId11"/>
    <sheet name="旧25" sheetId="12" state="hidden" r:id="rId12"/>
    <sheet name="旧30" sheetId="13" state="hidden" r:id="rId13"/>
    <sheet name="旧40" sheetId="14" state="hidden" r:id="rId14"/>
    <sheet name="旧50" sheetId="15" state="hidden" r:id="rId15"/>
    <sheet name="旧75" sheetId="16" state="hidden" r:id="rId16"/>
    <sheet name="旧100" sheetId="17" state="hidden" r:id="rId17"/>
    <sheet name="深谷下水" sheetId="18" state="hidden" r:id="rId18"/>
    <sheet name="岡部下水" sheetId="19" state="hidden" r:id="rId19"/>
    <sheet name="川本花園下水" sheetId="20" state="hidden" r:id="rId20"/>
  </sheets>
  <definedNames/>
  <calcPr fullCalcOnLoad="1"/>
</workbook>
</file>

<file path=xl/comments1.xml><?xml version="1.0" encoding="utf-8"?>
<comments xmlns="http://schemas.openxmlformats.org/spreadsheetml/2006/main">
  <authors>
    <author>fukaya</author>
  </authors>
  <commentList>
    <comment ref="Q11" authorId="0">
      <text>
        <r>
          <rPr>
            <b/>
            <sz val="9"/>
            <rFont val="ＭＳ Ｐゴシック"/>
            <family val="3"/>
          </rPr>
          <t>深谷：１０
岡部：２０
川本：３０
花園：４０</t>
        </r>
      </text>
    </comment>
    <comment ref="Q12" authorId="0">
      <text>
        <r>
          <rPr>
            <b/>
            <sz val="9"/>
            <rFont val="ＭＳ Ｐゴシック"/>
            <family val="3"/>
          </rPr>
          <t>１３ｍｍ：１
２０ｍｍ：２
２５ｍｍ：３
３０ｍｍ：４
４０ｍｍ：５
５０ｍｍ：６
７５ｍｍ：７
１００ｍｍ：８</t>
        </r>
      </text>
    </comment>
  </commentList>
</comments>
</file>

<file path=xl/sharedStrings.xml><?xml version="1.0" encoding="utf-8"?>
<sst xmlns="http://schemas.openxmlformats.org/spreadsheetml/2006/main" count="512" uniqueCount="121">
  <si>
    <t>口径</t>
  </si>
  <si>
    <t>公共下水道接続</t>
  </si>
  <si>
    <t>口径コード表</t>
  </si>
  <si>
    <t>地区</t>
  </si>
  <si>
    <t>接続状況</t>
  </si>
  <si>
    <t>項目</t>
  </si>
  <si>
    <t>利用環境入力</t>
  </si>
  <si>
    <t>値</t>
  </si>
  <si>
    <t>区分</t>
  </si>
  <si>
    <t>関数使用</t>
  </si>
  <si>
    <t>接続している</t>
  </si>
  <si>
    <t>接続していない</t>
  </si>
  <si>
    <t>２、お客様への請求額は、下記のとおりです。</t>
  </si>
  <si>
    <t>水道料金（円）</t>
  </si>
  <si>
    <t>使用水量（㎥）</t>
  </si>
  <si>
    <t>＋</t>
  </si>
  <si>
    <t>①　水道料金（円）</t>
  </si>
  <si>
    <t>②　下水道使用料（円）</t>
  </si>
  <si>
    <t>③　請求額（円）＜①＋②＞</t>
  </si>
  <si>
    <t>１３ｍｍの使用水量計算表</t>
  </si>
  <si>
    <t>２．０ヶ月</t>
  </si>
  <si>
    <t>（１）水量入力及び金額</t>
  </si>
  <si>
    <t>に水量を入力してください。</t>
  </si>
  <si>
    <t>（２）料金計算明細</t>
  </si>
  <si>
    <t>水量段階（㎥）</t>
  </si>
  <si>
    <t>水量（㎥）</t>
  </si>
  <si>
    <t>単価（円）</t>
  </si>
  <si>
    <t>　　０　～　１０</t>
  </si>
  <si>
    <t>　１１　～　２０</t>
  </si>
  <si>
    <t>　２１　～　４０</t>
  </si>
  <si>
    <t>　４１　～１００</t>
  </si>
  <si>
    <t>１０１　～２００</t>
  </si>
  <si>
    <t>２０１　～４００</t>
  </si>
  <si>
    <t>４０１以上</t>
  </si>
  <si>
    <t>合計</t>
  </si>
  <si>
    <t>―</t>
  </si>
  <si>
    <t>２０ｍｍの使用水量計算表</t>
  </si>
  <si>
    <t>―</t>
  </si>
  <si>
    <t>２５ｍｍの使用水量計算表</t>
  </si>
  <si>
    <t>　　　０　～　　２０</t>
  </si>
  <si>
    <t>　　２１　～　　４０</t>
  </si>
  <si>
    <t>　　４１　～　１００</t>
  </si>
  <si>
    <t>　１０１　～　２００</t>
  </si>
  <si>
    <t>　２０１　～　４００</t>
  </si>
  <si>
    <t>　４０１以上</t>
  </si>
  <si>
    <t>３０ｍｍの使用水量計算表</t>
  </si>
  <si>
    <t>４０ｍｍの使用水量計算表</t>
  </si>
  <si>
    <t>５０ｍｍの使用水量計算表</t>
  </si>
  <si>
    <t>７５ｍｍの使用水量計算表</t>
  </si>
  <si>
    <t>１００ｍｍの使用水量計算表</t>
  </si>
  <si>
    <t>上水</t>
  </si>
  <si>
    <t>使用水量</t>
  </si>
  <si>
    <t>下水</t>
  </si>
  <si>
    <t>＝</t>
  </si>
  <si>
    <t>25ミリ</t>
  </si>
  <si>
    <t>40ミリ</t>
  </si>
  <si>
    <t>条件コード集計</t>
  </si>
  <si>
    <t>13ミリ</t>
  </si>
  <si>
    <t>20ミリ</t>
  </si>
  <si>
    <t>30ミリ</t>
  </si>
  <si>
    <t>50ミリ</t>
  </si>
  <si>
    <t>75ミリ</t>
  </si>
  <si>
    <t>100ミリ</t>
  </si>
  <si>
    <t>下水子メーター用</t>
  </si>
  <si>
    <t>②</t>
  </si>
  <si>
    <t>③</t>
  </si>
  <si>
    <t>利用環境</t>
  </si>
  <si>
    <t>ご使用のメーター口径</t>
  </si>
  <si>
    <r>
      <t>１、使用水量を</t>
    </r>
    <r>
      <rPr>
        <b/>
        <sz val="12"/>
        <color indexed="12"/>
        <rFont val="HG丸ｺﾞｼｯｸM-PRO"/>
        <family val="3"/>
      </rPr>
      <t>青色の欄</t>
    </r>
    <r>
      <rPr>
        <b/>
        <sz val="12"/>
        <rFont val="HG丸ｺﾞｼｯｸM-PRO"/>
        <family val="3"/>
      </rPr>
      <t>に入力してください。</t>
    </r>
  </si>
  <si>
    <t>※一般家庭においては、１３ミリ及び２０ミリを使用している方が多いです。</t>
  </si>
  <si>
    <t>※農業集落排水及び浄化槽をご利用の方は「接続していない」を選択してください。</t>
  </si>
  <si>
    <t>入力情報に間違いなければ料金計算へお進みください。</t>
  </si>
  <si>
    <t>料金計算</t>
  </si>
  <si>
    <t>旧料金（上）</t>
  </si>
  <si>
    <t>旧料金（下）</t>
  </si>
  <si>
    <t>　　０　～　２０</t>
  </si>
  <si>
    <t>　４１　～　６０</t>
  </si>
  <si>
    <t>　６１　～１００</t>
  </si>
  <si>
    <t>２０１　～５００</t>
  </si>
  <si>
    <t>５０１　～１，０００</t>
  </si>
  <si>
    <t>１，００１以上</t>
  </si>
  <si>
    <t>　４１　～　１００</t>
  </si>
  <si>
    <t>　１０１　～　２００</t>
  </si>
  <si>
    <t>２０１　～　４００</t>
  </si>
  <si>
    <t>４０１　～　１，０００</t>
  </si>
  <si>
    <t>　６１　～　１００</t>
  </si>
  <si>
    <t>１０１　～　２００</t>
  </si>
  <si>
    <t>２０１　～　４００</t>
  </si>
  <si>
    <t>４０１　～　１０００</t>
  </si>
  <si>
    <t>下水料金（円）</t>
  </si>
  <si>
    <t>下水料金（円）</t>
  </si>
  <si>
    <t>消費税5パーセント</t>
  </si>
  <si>
    <t>H26～（消費税8パーセント）</t>
  </si>
  <si>
    <r>
      <rPr>
        <b/>
        <sz val="11"/>
        <color indexed="10"/>
        <rFont val="ＭＳ Ｐゴシック"/>
        <family val="3"/>
      </rPr>
      <t>新</t>
    </r>
    <r>
      <rPr>
        <sz val="11"/>
        <rFont val="ＭＳ Ｐゴシック"/>
        <family val="3"/>
      </rPr>
      <t>料金（上）</t>
    </r>
  </si>
  <si>
    <r>
      <rPr>
        <b/>
        <sz val="11"/>
        <color indexed="10"/>
        <rFont val="ＭＳ Ｐゴシック"/>
        <family val="3"/>
      </rPr>
      <t>新</t>
    </r>
    <r>
      <rPr>
        <sz val="11"/>
        <rFont val="ＭＳ Ｐゴシック"/>
        <family val="3"/>
      </rPr>
      <t>料金（下）</t>
    </r>
  </si>
  <si>
    <r>
      <t>1、ご使用されている水道メーター口径を</t>
    </r>
    <r>
      <rPr>
        <b/>
        <sz val="12"/>
        <color indexed="12"/>
        <rFont val="HG丸ｺﾞｼｯｸM-PRO"/>
        <family val="3"/>
      </rPr>
      <t>青色の欄</t>
    </r>
    <r>
      <rPr>
        <b/>
        <sz val="12"/>
        <rFont val="HG丸ｺﾞｼｯｸM-PRO"/>
        <family val="3"/>
      </rPr>
      <t>をクリックし、お選びください。</t>
    </r>
  </si>
  <si>
    <r>
      <t>2、公共下水道への接続をおこなっていますか。</t>
    </r>
    <r>
      <rPr>
        <b/>
        <sz val="12"/>
        <color indexed="12"/>
        <rFont val="HG丸ｺﾞｼｯｸM-PRO"/>
        <family val="3"/>
      </rPr>
      <t>青色の欄</t>
    </r>
    <r>
      <rPr>
        <b/>
        <sz val="12"/>
        <rFont val="HG丸ｺﾞｼｯｸM-PRO"/>
        <family val="3"/>
      </rPr>
      <t>をクリックし、お選びください。</t>
    </r>
  </si>
  <si>
    <t>3、お客様の利用環境は下記のとおりでお間違いないでしょうか。</t>
  </si>
  <si>
    <t>1、メーター口径</t>
  </si>
  <si>
    <t>2、公共下水道接続状況</t>
  </si>
  <si>
    <t>基本使用料</t>
  </si>
  <si>
    <t>　　０　～　１０</t>
  </si>
  <si>
    <t>　１１　～　４０</t>
  </si>
  <si>
    <t>　４１　～　１００</t>
  </si>
  <si>
    <t>１０１以上</t>
  </si>
  <si>
    <t>水量範囲</t>
  </si>
  <si>
    <t>1-10</t>
  </si>
  <si>
    <t>11-40</t>
  </si>
  <si>
    <t>41-100</t>
  </si>
  <si>
    <t>101-</t>
  </si>
  <si>
    <t>総水量</t>
  </si>
  <si>
    <t>区分水量</t>
  </si>
  <si>
    <t>単価</t>
  </si>
  <si>
    <t>基本料</t>
  </si>
  <si>
    <t>税抜合計</t>
  </si>
  <si>
    <t>税込み</t>
  </si>
  <si>
    <t>公共下水道　料金作業エリア</t>
  </si>
  <si>
    <r>
      <t>税込</t>
    </r>
    <r>
      <rPr>
        <sz val="11"/>
        <color indexed="53"/>
        <rFont val="ＭＳ Ｐゴシック"/>
        <family val="3"/>
      </rPr>
      <t>（条例上税込みだから）</t>
    </r>
  </si>
  <si>
    <t>基本料金</t>
  </si>
  <si>
    <t>　　１　～　１０</t>
  </si>
  <si>
    <t>20ミリ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</si>
</sst>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  <numFmt numFmtId="183" formatCode="#,##0.00_ "/>
    <numFmt numFmtId="184" formatCode="#,##0_);[Red]\(#,##0\)"/>
    <numFmt numFmtId="185" formatCode="0_ ;[Red]\-0\ "/>
    <numFmt numFmtId="186" formatCode="#,##0_ ;[Red]\-#,##0\ "/>
    <numFmt numFmtId="187" formatCode="#,##0.0;[Red]\-#,##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b/>
      <sz val="16"/>
      <color indexed="9"/>
      <name val="HG丸ｺﾞｼｯｸM-PRO"/>
      <family val="3"/>
    </font>
    <font>
      <b/>
      <sz val="14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14"/>
      <name val="ＭＳ Ｐゴシック"/>
      <family val="3"/>
    </font>
    <font>
      <i/>
      <sz val="11"/>
      <name val="HG丸ｺﾞｼｯｸM-PRO"/>
      <family val="3"/>
    </font>
    <font>
      <b/>
      <i/>
      <sz val="20"/>
      <name val="HG丸ｺﾞｼｯｸM-PRO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color indexed="9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6"/>
      <color indexed="60"/>
      <name val="HG丸ｺﾞｼｯｸM-PRO"/>
      <family val="3"/>
    </font>
    <font>
      <b/>
      <sz val="12"/>
      <color indexed="12"/>
      <name val="HG丸ｺﾞｼｯｸM-PRO"/>
      <family val="3"/>
    </font>
    <font>
      <b/>
      <sz val="9"/>
      <name val="ＭＳ Ｐ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6" fontId="10" fillId="0" borderId="0" xfId="0" applyNumberFormat="1" applyFont="1" applyAlignment="1">
      <alignment/>
    </xf>
    <xf numFmtId="176" fontId="0" fillId="33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10" fillId="34" borderId="11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0" fillId="34" borderId="13" xfId="0" applyNumberFormat="1" applyFont="1" applyFill="1" applyBorder="1" applyAlignment="1">
      <alignment horizontal="center" vertical="center"/>
    </xf>
    <xf numFmtId="176" fontId="10" fillId="34" borderId="14" xfId="0" applyNumberFormat="1" applyFont="1" applyFill="1" applyBorder="1" applyAlignment="1">
      <alignment horizontal="center" vertical="center"/>
    </xf>
    <xf numFmtId="176" fontId="10" fillId="34" borderId="15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vertical="center"/>
    </xf>
    <xf numFmtId="176" fontId="0" fillId="33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/>
      <protection/>
    </xf>
    <xf numFmtId="38" fontId="0" fillId="0" borderId="0" xfId="49" applyFont="1" applyFill="1" applyBorder="1" applyAlignment="1">
      <alignment horizontal="distributed"/>
    </xf>
    <xf numFmtId="0" fontId="22" fillId="0" borderId="0" xfId="61" applyFont="1" applyFill="1" applyBorder="1" applyAlignment="1">
      <alignment horizontal="distributed"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6" fillId="35" borderId="0" xfId="0" applyFont="1" applyFill="1" applyBorder="1" applyAlignment="1">
      <alignment horizontal="left"/>
    </xf>
    <xf numFmtId="0" fontId="17" fillId="35" borderId="2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17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wrapText="1"/>
    </xf>
    <xf numFmtId="0" fontId="17" fillId="35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77" fontId="17" fillId="35" borderId="23" xfId="0" applyNumberFormat="1" applyFont="1" applyFill="1" applyBorder="1" applyAlignment="1">
      <alignment horizontal="center"/>
    </xf>
    <xf numFmtId="184" fontId="0" fillId="35" borderId="0" xfId="0" applyNumberFormat="1" applyFont="1" applyFill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184" fontId="6" fillId="0" borderId="39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184" fontId="6" fillId="0" borderId="42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vertical="center"/>
    </xf>
    <xf numFmtId="0" fontId="23" fillId="0" borderId="2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7" xfId="0" applyFont="1" applyFill="1" applyBorder="1" applyAlignment="1">
      <alignment horizontal="left"/>
    </xf>
    <xf numFmtId="184" fontId="0" fillId="0" borderId="0" xfId="0" applyNumberFormat="1" applyFont="1" applyFill="1" applyAlignment="1">
      <alignment horizontal="center" vertical="center"/>
    </xf>
    <xf numFmtId="184" fontId="0" fillId="0" borderId="43" xfId="0" applyNumberFormat="1" applyFont="1" applyFill="1" applyBorder="1" applyAlignment="1">
      <alignment horizontal="center" vertical="center"/>
    </xf>
    <xf numFmtId="0" fontId="62" fillId="35" borderId="0" xfId="0" applyFont="1" applyFill="1" applyAlignment="1">
      <alignment/>
    </xf>
    <xf numFmtId="0" fontId="0" fillId="35" borderId="20" xfId="0" applyFont="1" applyFill="1" applyBorder="1" applyAlignment="1">
      <alignment/>
    </xf>
    <xf numFmtId="184" fontId="19" fillId="0" borderId="0" xfId="0" applyNumberFormat="1" applyFont="1" applyFill="1" applyBorder="1" applyAlignment="1">
      <alignment vertical="center"/>
    </xf>
    <xf numFmtId="0" fontId="63" fillId="36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0" xfId="0" applyFont="1" applyFill="1" applyAlignment="1">
      <alignment/>
    </xf>
    <xf numFmtId="0" fontId="17" fillId="35" borderId="47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177" fontId="17" fillId="35" borderId="22" xfId="0" applyNumberFormat="1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177" fontId="18" fillId="35" borderId="13" xfId="0" applyNumberFormat="1" applyFont="1" applyFill="1" applyBorder="1" applyAlignment="1">
      <alignment horizontal="center"/>
    </xf>
    <xf numFmtId="177" fontId="18" fillId="35" borderId="14" xfId="0" applyNumberFormat="1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textRotation="180"/>
    </xf>
    <xf numFmtId="184" fontId="23" fillId="0" borderId="48" xfId="0" applyNumberFormat="1" applyFont="1" applyFill="1" applyBorder="1" applyAlignment="1">
      <alignment horizontal="center" vertical="center"/>
    </xf>
    <xf numFmtId="184" fontId="23" fillId="0" borderId="49" xfId="0" applyNumberFormat="1" applyFont="1" applyFill="1" applyBorder="1" applyAlignment="1">
      <alignment horizontal="center" vertical="center"/>
    </xf>
    <xf numFmtId="184" fontId="23" fillId="34" borderId="11" xfId="0" applyNumberFormat="1" applyFont="1" applyFill="1" applyBorder="1" applyAlignment="1">
      <alignment horizontal="center" vertical="center" shrinkToFit="1"/>
    </xf>
    <xf numFmtId="184" fontId="23" fillId="34" borderId="50" xfId="0" applyNumberFormat="1" applyFont="1" applyFill="1" applyBorder="1" applyAlignment="1">
      <alignment horizontal="center" vertical="center" shrinkToFit="1"/>
    </xf>
    <xf numFmtId="184" fontId="23" fillId="34" borderId="51" xfId="0" applyNumberFormat="1" applyFont="1" applyFill="1" applyBorder="1" applyAlignment="1">
      <alignment horizontal="center" vertical="center" shrinkToFit="1"/>
    </xf>
    <xf numFmtId="184" fontId="23" fillId="34" borderId="12" xfId="0" applyNumberFormat="1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/>
    </xf>
    <xf numFmtId="184" fontId="23" fillId="0" borderId="51" xfId="0" applyNumberFormat="1" applyFont="1" applyFill="1" applyBorder="1" applyAlignment="1">
      <alignment horizontal="center" vertical="center"/>
    </xf>
    <xf numFmtId="184" fontId="23" fillId="0" borderId="12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177" fontId="62" fillId="35" borderId="0" xfId="0" applyNumberFormat="1" applyFont="1" applyFill="1" applyBorder="1" applyAlignment="1" quotePrefix="1">
      <alignment/>
    </xf>
    <xf numFmtId="177" fontId="62" fillId="35" borderId="0" xfId="0" applyNumberFormat="1" applyFont="1" applyFill="1" applyBorder="1" applyAlignment="1">
      <alignment/>
    </xf>
    <xf numFmtId="0" fontId="62" fillId="35" borderId="0" xfId="0" applyFont="1" applyFill="1" applyBorder="1" applyAlignment="1">
      <alignment/>
    </xf>
    <xf numFmtId="177" fontId="0" fillId="35" borderId="0" xfId="0" applyNumberFormat="1" applyFont="1" applyFill="1" applyBorder="1" applyAlignment="1" quotePrefix="1">
      <alignment/>
    </xf>
    <xf numFmtId="177" fontId="0" fillId="35" borderId="0" xfId="0" applyNumberFormat="1" applyFont="1" applyFill="1" applyBorder="1" applyAlignment="1">
      <alignment/>
    </xf>
    <xf numFmtId="177" fontId="0" fillId="35" borderId="0" xfId="0" applyNumberFormat="1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0" fillId="35" borderId="57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62" fillId="35" borderId="59" xfId="0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176" fontId="10" fillId="37" borderId="60" xfId="0" applyNumberFormat="1" applyFont="1" applyFill="1" applyBorder="1" applyAlignment="1">
      <alignment horizontal="center" vertical="center"/>
    </xf>
    <xf numFmtId="176" fontId="10" fillId="37" borderId="61" xfId="0" applyNumberFormat="1" applyFont="1" applyFill="1" applyBorder="1" applyAlignment="1">
      <alignment horizontal="right" vertical="center"/>
    </xf>
    <xf numFmtId="0" fontId="10" fillId="37" borderId="61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0" fillId="38" borderId="0" xfId="0" applyFill="1" applyAlignment="1">
      <alignment/>
    </xf>
    <xf numFmtId="38" fontId="10" fillId="37" borderId="62" xfId="49" applyFont="1" applyFill="1" applyBorder="1" applyAlignment="1">
      <alignment horizontal="right" vertical="center"/>
    </xf>
    <xf numFmtId="38" fontId="10" fillId="0" borderId="21" xfId="49" applyFont="1" applyBorder="1" applyAlignment="1">
      <alignment vertical="center"/>
    </xf>
    <xf numFmtId="38" fontId="10" fillId="0" borderId="24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187" fontId="10" fillId="37" borderId="63" xfId="49" applyNumberFormat="1" applyFont="1" applyFill="1" applyBorder="1" applyAlignment="1">
      <alignment horizontal="right" vertical="center"/>
    </xf>
    <xf numFmtId="187" fontId="10" fillId="0" borderId="20" xfId="0" applyNumberFormat="1" applyFont="1" applyBorder="1" applyAlignment="1">
      <alignment vertical="center"/>
    </xf>
    <xf numFmtId="187" fontId="10" fillId="0" borderId="23" xfId="0" applyNumberFormat="1" applyFont="1" applyBorder="1" applyAlignment="1">
      <alignment vertical="center"/>
    </xf>
    <xf numFmtId="38" fontId="10" fillId="37" borderId="47" xfId="49" applyFont="1" applyFill="1" applyBorder="1" applyAlignment="1">
      <alignment horizontal="right" vertical="center"/>
    </xf>
    <xf numFmtId="38" fontId="10" fillId="0" borderId="14" xfId="49" applyFont="1" applyBorder="1" applyAlignment="1">
      <alignment horizontal="center" vertical="center"/>
    </xf>
    <xf numFmtId="187" fontId="10" fillId="37" borderId="61" xfId="49" applyNumberFormat="1" applyFont="1" applyFill="1" applyBorder="1" applyAlignment="1">
      <alignment horizontal="right" vertical="center"/>
    </xf>
    <xf numFmtId="187" fontId="10" fillId="0" borderId="17" xfId="49" applyNumberFormat="1" applyFont="1" applyBorder="1" applyAlignment="1">
      <alignment vertical="center"/>
    </xf>
    <xf numFmtId="187" fontId="10" fillId="0" borderId="20" xfId="49" applyNumberFormat="1" applyFont="1" applyBorder="1" applyAlignment="1">
      <alignment vertical="center"/>
    </xf>
    <xf numFmtId="187" fontId="10" fillId="0" borderId="23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0" fontId="8" fillId="35" borderId="0" xfId="0" applyFont="1" applyFill="1" applyBorder="1" applyAlignment="1">
      <alignment horizontal="right"/>
    </xf>
    <xf numFmtId="184" fontId="19" fillId="0" borderId="64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/>
    </xf>
    <xf numFmtId="182" fontId="23" fillId="34" borderId="11" xfId="0" applyNumberFormat="1" applyFont="1" applyFill="1" applyBorder="1" applyAlignment="1">
      <alignment horizontal="center" vertical="center" shrinkToFit="1"/>
    </xf>
    <xf numFmtId="182" fontId="23" fillId="34" borderId="43" xfId="0" applyNumberFormat="1" applyFont="1" applyFill="1" applyBorder="1" applyAlignment="1">
      <alignment horizontal="center" vertical="center" shrinkToFit="1"/>
    </xf>
    <xf numFmtId="182" fontId="23" fillId="34" borderId="50" xfId="0" applyNumberFormat="1" applyFont="1" applyFill="1" applyBorder="1" applyAlignment="1">
      <alignment horizontal="center" vertical="center" shrinkToFit="1"/>
    </xf>
    <xf numFmtId="182" fontId="23" fillId="34" borderId="65" xfId="0" applyNumberFormat="1" applyFont="1" applyFill="1" applyBorder="1" applyAlignment="1">
      <alignment horizontal="center" vertical="center" shrinkToFit="1"/>
    </xf>
    <xf numFmtId="182" fontId="23" fillId="34" borderId="0" xfId="0" applyNumberFormat="1" applyFont="1" applyFill="1" applyBorder="1" applyAlignment="1">
      <alignment horizontal="center" vertical="center" shrinkToFit="1"/>
    </xf>
    <xf numFmtId="182" fontId="23" fillId="34" borderId="66" xfId="0" applyNumberFormat="1" applyFont="1" applyFill="1" applyBorder="1" applyAlignment="1">
      <alignment horizontal="center" vertical="center" shrinkToFit="1"/>
    </xf>
    <xf numFmtId="182" fontId="23" fillId="34" borderId="51" xfId="0" applyNumberFormat="1" applyFont="1" applyFill="1" applyBorder="1" applyAlignment="1">
      <alignment horizontal="center" vertical="center" shrinkToFit="1"/>
    </xf>
    <xf numFmtId="182" fontId="23" fillId="34" borderId="67" xfId="0" applyNumberFormat="1" applyFont="1" applyFill="1" applyBorder="1" applyAlignment="1">
      <alignment horizontal="center" vertical="center" shrinkToFit="1"/>
    </xf>
    <xf numFmtId="182" fontId="23" fillId="34" borderId="12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176" fontId="24" fillId="34" borderId="68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/>
    </xf>
    <xf numFmtId="184" fontId="23" fillId="0" borderId="48" xfId="0" applyNumberFormat="1" applyFont="1" applyFill="1" applyBorder="1" applyAlignment="1">
      <alignment horizontal="center" vertical="center"/>
    </xf>
    <xf numFmtId="184" fontId="23" fillId="0" borderId="70" xfId="0" applyNumberFormat="1" applyFont="1" applyFill="1" applyBorder="1" applyAlignment="1">
      <alignment horizontal="center" vertical="center"/>
    </xf>
    <xf numFmtId="184" fontId="23" fillId="0" borderId="49" xfId="0" applyNumberFormat="1" applyFont="1" applyFill="1" applyBorder="1" applyAlignment="1">
      <alignment horizontal="center" vertical="center"/>
    </xf>
    <xf numFmtId="184" fontId="23" fillId="0" borderId="51" xfId="0" applyNumberFormat="1" applyFont="1" applyFill="1" applyBorder="1" applyAlignment="1">
      <alignment horizontal="center" vertical="center"/>
    </xf>
    <xf numFmtId="184" fontId="23" fillId="0" borderId="12" xfId="0" applyNumberFormat="1" applyFont="1" applyFill="1" applyBorder="1" applyAlignment="1">
      <alignment horizontal="center" vertical="center"/>
    </xf>
    <xf numFmtId="184" fontId="23" fillId="34" borderId="11" xfId="0" applyNumberFormat="1" applyFont="1" applyFill="1" applyBorder="1" applyAlignment="1">
      <alignment horizontal="center" vertical="center" shrinkToFit="1"/>
    </xf>
    <xf numFmtId="184" fontId="23" fillId="34" borderId="50" xfId="0" applyNumberFormat="1" applyFont="1" applyFill="1" applyBorder="1" applyAlignment="1">
      <alignment horizontal="center" vertical="center" shrinkToFit="1"/>
    </xf>
    <xf numFmtId="184" fontId="23" fillId="34" borderId="51" xfId="0" applyNumberFormat="1" applyFont="1" applyFill="1" applyBorder="1" applyAlignment="1">
      <alignment horizontal="center" vertical="center" shrinkToFit="1"/>
    </xf>
    <xf numFmtId="184" fontId="23" fillId="34" borderId="12" xfId="0" applyNumberFormat="1" applyFont="1" applyFill="1" applyBorder="1" applyAlignment="1">
      <alignment horizontal="center" vertical="center" shrinkToFit="1"/>
    </xf>
    <xf numFmtId="0" fontId="4" fillId="34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39" borderId="68" xfId="0" applyFont="1" applyFill="1" applyBorder="1" applyAlignment="1" applyProtection="1">
      <alignment horizontal="center" vertical="center" shrinkToFit="1"/>
      <protection locked="0"/>
    </xf>
    <xf numFmtId="0" fontId="7" fillId="39" borderId="50" xfId="0" applyFont="1" applyFill="1" applyBorder="1" applyAlignment="1" applyProtection="1">
      <alignment horizontal="center" vertical="center" shrinkToFit="1"/>
      <protection locked="0"/>
    </xf>
    <xf numFmtId="0" fontId="7" fillId="39" borderId="69" xfId="0" applyFont="1" applyFill="1" applyBorder="1" applyAlignment="1" applyProtection="1">
      <alignment horizontal="center" vertical="center" shrinkToFit="1"/>
      <protection locked="0"/>
    </xf>
    <xf numFmtId="0" fontId="7" fillId="39" borderId="12" xfId="0" applyFont="1" applyFill="1" applyBorder="1" applyAlignment="1" applyProtection="1">
      <alignment horizontal="center" vertical="center" shrinkToFit="1"/>
      <protection locked="0"/>
    </xf>
    <xf numFmtId="0" fontId="23" fillId="0" borderId="2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176" fontId="15" fillId="40" borderId="11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50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65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66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51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17" fillId="35" borderId="60" xfId="0" applyFont="1" applyFill="1" applyBorder="1" applyAlignment="1">
      <alignment horizontal="center"/>
    </xf>
    <xf numFmtId="0" fontId="17" fillId="35" borderId="61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49" fontId="5" fillId="34" borderId="78" xfId="0" applyNumberFormat="1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5" fillId="35" borderId="0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184" fontId="6" fillId="0" borderId="66" xfId="0" applyNumberFormat="1" applyFont="1" applyFill="1" applyBorder="1" applyAlignment="1">
      <alignment horizontal="center" vertical="center"/>
    </xf>
    <xf numFmtId="184" fontId="6" fillId="0" borderId="6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176" fontId="13" fillId="0" borderId="0" xfId="0" applyNumberFormat="1" applyFont="1" applyAlignment="1">
      <alignment horizontal="center"/>
    </xf>
    <xf numFmtId="0" fontId="63" fillId="36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子ﾒｰﾀ(H20)." xfId="61"/>
    <cellStyle name="Followed Hyperlink" xfId="62"/>
    <cellStyle name="良い" xfId="63"/>
  </cellStyles>
  <dxfs count="8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39</xdr:row>
      <xdr:rowOff>95250</xdr:rowOff>
    </xdr:from>
    <xdr:to>
      <xdr:col>3</xdr:col>
      <xdr:colOff>1123950</xdr:colOff>
      <xdr:row>47</xdr:row>
      <xdr:rowOff>123825</xdr:rowOff>
    </xdr:to>
    <xdr:sp>
      <xdr:nvSpPr>
        <xdr:cNvPr id="1" name="AutoShape 25"/>
        <xdr:cNvSpPr>
          <a:spLocks/>
        </xdr:cNvSpPr>
      </xdr:nvSpPr>
      <xdr:spPr>
        <a:xfrm>
          <a:off x="1743075" y="8705850"/>
          <a:ext cx="1295400" cy="1447800"/>
        </a:xfrm>
        <a:prstGeom prst="downArrow">
          <a:avLst>
            <a:gd name="adj1" fmla="val 7282"/>
            <a:gd name="adj2" fmla="val -3449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4</xdr:col>
      <xdr:colOff>9525</xdr:colOff>
      <xdr:row>12</xdr:row>
      <xdr:rowOff>152400</xdr:rowOff>
    </xdr:to>
    <xdr:pic>
      <xdr:nvPicPr>
        <xdr:cNvPr id="2" name="Picture 102" descr="MCj041959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714500"/>
          <a:ext cx="2562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114300</xdr:rowOff>
    </xdr:from>
    <xdr:to>
      <xdr:col>4</xdr:col>
      <xdr:colOff>38100</xdr:colOff>
      <xdr:row>53</xdr:row>
      <xdr:rowOff>47625</xdr:rowOff>
    </xdr:to>
    <xdr:pic>
      <xdr:nvPicPr>
        <xdr:cNvPr id="3" name="Picture 106" descr="MCj041959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315575"/>
          <a:ext cx="2562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419100</xdr:colOff>
      <xdr:row>6</xdr:row>
      <xdr:rowOff>9525</xdr:rowOff>
    </xdr:to>
    <xdr:pic>
      <xdr:nvPicPr>
        <xdr:cNvPr id="4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114300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85725</xdr:rowOff>
    </xdr:from>
    <xdr:to>
      <xdr:col>3</xdr:col>
      <xdr:colOff>371475</xdr:colOff>
      <xdr:row>7</xdr:row>
      <xdr:rowOff>9525</xdr:rowOff>
    </xdr:to>
    <xdr:pic>
      <xdr:nvPicPr>
        <xdr:cNvPr id="5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85725"/>
          <a:ext cx="1104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</xdr:row>
      <xdr:rowOff>161925</xdr:rowOff>
    </xdr:from>
    <xdr:to>
      <xdr:col>8</xdr:col>
      <xdr:colOff>228600</xdr:colOff>
      <xdr:row>4</xdr:row>
      <xdr:rowOff>161925</xdr:rowOff>
    </xdr:to>
    <xdr:sp>
      <xdr:nvSpPr>
        <xdr:cNvPr id="6" name="WordArt 113"/>
        <xdr:cNvSpPr>
          <a:spLocks/>
        </xdr:cNvSpPr>
      </xdr:nvSpPr>
      <xdr:spPr>
        <a:xfrm>
          <a:off x="2524125" y="333375"/>
          <a:ext cx="40005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HG丸ｺﾞｼｯｸM-PRO"/>
              <a:cs typeface="HG丸ｺﾞｼｯｸM-PRO"/>
            </a:rPr>
            <a:t>水道料金等自動計算表</a:t>
          </a:r>
        </a:p>
      </xdr:txBody>
    </xdr:sp>
    <xdr:clientData/>
  </xdr:twoCellAnchor>
  <xdr:twoCellAnchor editAs="oneCell">
    <xdr:from>
      <xdr:col>7</xdr:col>
      <xdr:colOff>485775</xdr:colOff>
      <xdr:row>28</xdr:row>
      <xdr:rowOff>438150</xdr:rowOff>
    </xdr:from>
    <xdr:to>
      <xdr:col>10</xdr:col>
      <xdr:colOff>457200</xdr:colOff>
      <xdr:row>37</xdr:row>
      <xdr:rowOff>133350</xdr:rowOff>
    </xdr:to>
    <xdr:pic>
      <xdr:nvPicPr>
        <xdr:cNvPr id="7" name="図 11" descr="http://www.fukkachan.com/cgi-bin/mgalbum/img/2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6296025"/>
          <a:ext cx="20288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77</xdr:row>
      <xdr:rowOff>57150</xdr:rowOff>
    </xdr:from>
    <xdr:to>
      <xdr:col>10</xdr:col>
      <xdr:colOff>419100</xdr:colOff>
      <xdr:row>88</xdr:row>
      <xdr:rowOff>0</xdr:rowOff>
    </xdr:to>
    <xdr:pic>
      <xdr:nvPicPr>
        <xdr:cNvPr id="8" name="図 12" descr="http://www.fukkachan.com/cgi-bin/mgalbum/img/5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15963900"/>
          <a:ext cx="23717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171450</xdr:rowOff>
    </xdr:from>
    <xdr:to>
      <xdr:col>9</xdr:col>
      <xdr:colOff>571500</xdr:colOff>
      <xdr:row>65</xdr:row>
      <xdr:rowOff>209550</xdr:rowOff>
    </xdr:to>
    <xdr:pic>
      <xdr:nvPicPr>
        <xdr:cNvPr id="9" name="図 13" descr="http://www.fukkachan.com/cgi-bin/mgalbum/img/9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11144250"/>
          <a:ext cx="24479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126"/>
  <sheetViews>
    <sheetView showGridLines="0" showRowColHeaders="0" showZeros="0" tabSelected="1" showOutlineSymbols="0" zoomScale="90" zoomScaleNormal="90" zoomScalePageLayoutView="0" workbookViewId="0" topLeftCell="A1">
      <selection activeCell="AB45" sqref="AB45"/>
    </sheetView>
  </sheetViews>
  <sheetFormatPr defaultColWidth="13.625" defaultRowHeight="13.5"/>
  <cols>
    <col min="1" max="1" width="12.75390625" style="51" customWidth="1"/>
    <col min="2" max="2" width="9.00390625" style="51" customWidth="1"/>
    <col min="3" max="3" width="3.375" style="51" customWidth="1"/>
    <col min="4" max="4" width="21.375" style="51" customWidth="1"/>
    <col min="5" max="5" width="9.00390625" style="51" customWidth="1"/>
    <col min="6" max="6" width="11.00390625" style="51" customWidth="1"/>
    <col min="7" max="7" width="7.125" style="51" customWidth="1"/>
    <col min="8" max="11" width="9.00390625" style="51" customWidth="1"/>
    <col min="12" max="12" width="13.625" style="51" customWidth="1"/>
    <col min="13" max="24" width="13.625" style="51" hidden="1" customWidth="1"/>
    <col min="25" max="16384" width="13.625" style="51" customWidth="1"/>
  </cols>
  <sheetData>
    <row r="1" ht="13.5"/>
    <row r="2" spans="2:11" ht="24" customHeight="1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3.5" customHeight="1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11" ht="13.5" customHeight="1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1" ht="13.5" customHeight="1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4:8" ht="13.5">
      <c r="D6" s="62"/>
      <c r="E6" s="62"/>
      <c r="F6" s="62"/>
      <c r="G6" s="62"/>
      <c r="H6" s="62"/>
    </row>
    <row r="7" ht="13.5"/>
    <row r="8" ht="30" customHeight="1"/>
    <row r="9" spans="2:20" ht="13.5" customHeight="1">
      <c r="B9" s="186" t="s">
        <v>6</v>
      </c>
      <c r="C9" s="186"/>
      <c r="D9" s="186"/>
      <c r="I9" s="169"/>
      <c r="P9" s="52" t="s">
        <v>56</v>
      </c>
      <c r="R9" s="62"/>
      <c r="S9" s="62"/>
      <c r="T9" s="62"/>
    </row>
    <row r="10" spans="2:20" ht="14.25" customHeight="1">
      <c r="B10" s="186"/>
      <c r="C10" s="186"/>
      <c r="D10" s="186"/>
      <c r="E10" s="208"/>
      <c r="F10" s="208"/>
      <c r="G10" s="208"/>
      <c r="H10" s="208"/>
      <c r="I10" s="208"/>
      <c r="J10" s="208"/>
      <c r="K10" s="53"/>
      <c r="O10" s="55"/>
      <c r="P10" s="54" t="s">
        <v>8</v>
      </c>
      <c r="Q10" s="54" t="s">
        <v>7</v>
      </c>
      <c r="R10" s="55"/>
      <c r="S10" s="55"/>
      <c r="T10" s="55"/>
    </row>
    <row r="11" spans="2:20" ht="14.25" customHeight="1">
      <c r="B11" s="186"/>
      <c r="C11" s="186"/>
      <c r="D11" s="186"/>
      <c r="E11" s="208"/>
      <c r="F11" s="208"/>
      <c r="G11" s="208"/>
      <c r="H11" s="208"/>
      <c r="I11" s="208"/>
      <c r="J11" s="208"/>
      <c r="K11" s="53"/>
      <c r="O11" s="55"/>
      <c r="P11" s="54" t="s">
        <v>3</v>
      </c>
      <c r="Q11" s="54" t="e">
        <f>IF(#REF!=D108,10,IF(#REF!=D109,20,IF(#REF!=D110,30,IF(#REF!=D111,40,0))))</f>
        <v>#REF!</v>
      </c>
      <c r="R11" s="55"/>
      <c r="S11" s="55"/>
      <c r="T11" s="55"/>
    </row>
    <row r="12" spans="2:20" ht="13.5" customHeight="1" thickBot="1">
      <c r="B12" s="56"/>
      <c r="C12" s="56"/>
      <c r="D12" s="56"/>
      <c r="E12" s="80"/>
      <c r="F12" s="80"/>
      <c r="G12" s="81"/>
      <c r="H12" s="80"/>
      <c r="I12" s="80"/>
      <c r="J12" s="80"/>
      <c r="K12" s="80"/>
      <c r="O12" s="55"/>
      <c r="P12" s="54" t="s">
        <v>0</v>
      </c>
      <c r="Q12" s="54">
        <f>IF(E19=D115,1,IF(E19=D116,2,IF(E19=D117,3,IF(E19=D118,4,IF(E19=D119,5,IF(E19=D120,6,IF(E19=D121,7,IF(E19=D122,8,0))))))))</f>
        <v>2</v>
      </c>
      <c r="R12" s="55"/>
      <c r="S12" s="55"/>
      <c r="T12" s="55"/>
    </row>
    <row r="13" spans="2:20" ht="37.5" customHeight="1" thickTop="1">
      <c r="B13" s="82"/>
      <c r="C13" s="83"/>
      <c r="D13" s="83"/>
      <c r="E13" s="35"/>
      <c r="F13" s="35"/>
      <c r="G13" s="35"/>
      <c r="H13" s="35"/>
      <c r="I13" s="35"/>
      <c r="J13" s="35"/>
      <c r="K13" s="43"/>
      <c r="O13" s="59"/>
      <c r="P13" s="58" t="s">
        <v>9</v>
      </c>
      <c r="Q13" s="58" t="e">
        <f>SUM(Q11:Q12)</f>
        <v>#REF!</v>
      </c>
      <c r="R13" s="55"/>
      <c r="S13" s="55"/>
      <c r="T13" s="55"/>
    </row>
    <row r="14" spans="2:22" ht="14.25">
      <c r="B14" s="42"/>
      <c r="C14" s="35"/>
      <c r="D14" s="35"/>
      <c r="E14" s="35"/>
      <c r="F14" s="35"/>
      <c r="G14" s="35"/>
      <c r="H14" s="35"/>
      <c r="I14" s="35"/>
      <c r="J14" s="35"/>
      <c r="K14" s="43"/>
      <c r="N14" s="52"/>
      <c r="O14" s="52"/>
      <c r="P14" s="64">
        <v>1</v>
      </c>
      <c r="Q14" s="65" t="s">
        <v>57</v>
      </c>
      <c r="R14" s="115">
        <f>'新13'!B6</f>
        <v>3234</v>
      </c>
      <c r="S14" s="113"/>
      <c r="T14" s="64">
        <v>1</v>
      </c>
      <c r="U14" s="65" t="s">
        <v>57</v>
      </c>
      <c r="V14" s="115">
        <f>'旧13'!B6</f>
        <v>2457</v>
      </c>
    </row>
    <row r="15" spans="2:22" ht="15.75">
      <c r="B15" s="225" t="s">
        <v>95</v>
      </c>
      <c r="C15" s="226"/>
      <c r="D15" s="226"/>
      <c r="E15" s="226"/>
      <c r="F15" s="226"/>
      <c r="G15" s="226"/>
      <c r="H15" s="226"/>
      <c r="I15" s="226"/>
      <c r="J15" s="226"/>
      <c r="K15" s="227"/>
      <c r="N15" s="52"/>
      <c r="O15" s="52"/>
      <c r="P15" s="66">
        <v>2</v>
      </c>
      <c r="Q15" s="67" t="s">
        <v>58</v>
      </c>
      <c r="R15" s="116">
        <f>'新20'!B6</f>
        <v>3454</v>
      </c>
      <c r="S15" s="113"/>
      <c r="T15" s="66">
        <v>2</v>
      </c>
      <c r="U15" s="67" t="s">
        <v>58</v>
      </c>
      <c r="V15" s="116">
        <f>'旧20'!B6</f>
        <v>2593</v>
      </c>
    </row>
    <row r="16" spans="1:23" ht="14.25">
      <c r="A16" s="62"/>
      <c r="B16" s="42"/>
      <c r="C16" s="35"/>
      <c r="D16" s="35"/>
      <c r="E16" s="35"/>
      <c r="F16" s="35"/>
      <c r="G16" s="35"/>
      <c r="H16" s="35"/>
      <c r="I16" s="35"/>
      <c r="J16" s="35"/>
      <c r="K16" s="43"/>
      <c r="L16" s="62"/>
      <c r="M16" s="62"/>
      <c r="N16" s="55"/>
      <c r="O16" s="55"/>
      <c r="P16" s="66">
        <v>3</v>
      </c>
      <c r="Q16" s="67" t="s">
        <v>54</v>
      </c>
      <c r="R16" s="116">
        <f>'新25'!B6</f>
        <v>5544</v>
      </c>
      <c r="S16" s="113"/>
      <c r="T16" s="66">
        <v>3</v>
      </c>
      <c r="U16" s="67" t="s">
        <v>54</v>
      </c>
      <c r="V16" s="116">
        <f>'旧25'!B6</f>
        <v>4777</v>
      </c>
      <c r="W16" s="62"/>
    </row>
    <row r="17" spans="1:23" ht="13.5" customHeight="1">
      <c r="A17" s="62"/>
      <c r="B17" s="42"/>
      <c r="C17" s="196" t="s">
        <v>69</v>
      </c>
      <c r="D17" s="196"/>
      <c r="E17" s="196"/>
      <c r="F17" s="196"/>
      <c r="G17" s="196"/>
      <c r="H17" s="196"/>
      <c r="I17" s="196"/>
      <c r="J17" s="196"/>
      <c r="K17" s="45"/>
      <c r="L17" s="62"/>
      <c r="M17" s="62"/>
      <c r="N17" s="62"/>
      <c r="O17" s="62"/>
      <c r="P17" s="66">
        <v>4</v>
      </c>
      <c r="Q17" s="67" t="s">
        <v>59</v>
      </c>
      <c r="R17" s="116">
        <f>'新30'!B6</f>
        <v>7854</v>
      </c>
      <c r="S17" s="113"/>
      <c r="T17" s="66">
        <v>4</v>
      </c>
      <c r="U17" s="67" t="s">
        <v>59</v>
      </c>
      <c r="V17" s="116">
        <f>'旧30'!B6</f>
        <v>6699</v>
      </c>
      <c r="W17" s="62"/>
    </row>
    <row r="18" spans="1:23" ht="13.5" customHeight="1" thickBot="1">
      <c r="A18" s="62"/>
      <c r="B18" s="42"/>
      <c r="C18" s="35"/>
      <c r="D18" s="35"/>
      <c r="E18" s="35"/>
      <c r="F18" s="35"/>
      <c r="G18" s="35"/>
      <c r="H18" s="35"/>
      <c r="I18" s="35"/>
      <c r="J18" s="35"/>
      <c r="K18" s="43"/>
      <c r="L18" s="62"/>
      <c r="M18" s="62"/>
      <c r="N18" s="62"/>
      <c r="O18" s="62"/>
      <c r="P18" s="66">
        <v>5</v>
      </c>
      <c r="Q18" s="67" t="s">
        <v>55</v>
      </c>
      <c r="R18" s="116">
        <f>'新40'!B6</f>
        <v>14014</v>
      </c>
      <c r="S18" s="113"/>
      <c r="T18" s="66">
        <v>5</v>
      </c>
      <c r="U18" s="67" t="s">
        <v>55</v>
      </c>
      <c r="V18" s="116">
        <f>'旧40'!B6</f>
        <v>11933</v>
      </c>
      <c r="W18" s="62"/>
    </row>
    <row r="19" spans="1:26" ht="14.25" customHeight="1">
      <c r="A19" s="62"/>
      <c r="B19" s="42"/>
      <c r="C19" s="35"/>
      <c r="D19" s="234" t="s">
        <v>67</v>
      </c>
      <c r="E19" s="221" t="s">
        <v>120</v>
      </c>
      <c r="F19" s="222"/>
      <c r="G19" s="37"/>
      <c r="H19" s="37"/>
      <c r="I19" s="35"/>
      <c r="J19" s="35"/>
      <c r="K19" s="43"/>
      <c r="L19" s="62"/>
      <c r="M19" s="62"/>
      <c r="N19" s="62"/>
      <c r="O19" s="62"/>
      <c r="P19" s="66">
        <v>6</v>
      </c>
      <c r="Q19" s="67" t="s">
        <v>60</v>
      </c>
      <c r="R19" s="116">
        <f>'新50'!B6</f>
        <v>21384</v>
      </c>
      <c r="S19" s="113"/>
      <c r="T19" s="66">
        <v>6</v>
      </c>
      <c r="U19" s="67" t="s">
        <v>60</v>
      </c>
      <c r="V19" s="116">
        <f>'旧50'!B6</f>
        <v>18280</v>
      </c>
      <c r="W19" s="62"/>
      <c r="Z19" s="52"/>
    </row>
    <row r="20" spans="1:23" ht="19.5" thickBot="1">
      <c r="A20" s="62"/>
      <c r="B20" s="42"/>
      <c r="C20" s="35"/>
      <c r="D20" s="235"/>
      <c r="E20" s="223"/>
      <c r="F20" s="224"/>
      <c r="G20" s="38"/>
      <c r="H20" s="38"/>
      <c r="I20" s="35"/>
      <c r="J20" s="35"/>
      <c r="K20" s="43"/>
      <c r="L20" s="62"/>
      <c r="M20" s="62"/>
      <c r="N20" s="62"/>
      <c r="O20" s="62"/>
      <c r="P20" s="66">
        <v>7</v>
      </c>
      <c r="Q20" s="67" t="s">
        <v>61</v>
      </c>
      <c r="R20" s="116">
        <f>'新75'!B6</f>
        <v>46024</v>
      </c>
      <c r="S20" s="113"/>
      <c r="T20" s="66">
        <v>7</v>
      </c>
      <c r="U20" s="67" t="s">
        <v>61</v>
      </c>
      <c r="V20" s="116">
        <f>'旧75'!B6</f>
        <v>39228</v>
      </c>
      <c r="W20" s="62"/>
    </row>
    <row r="21" spans="2:22" ht="27.75" customHeight="1" thickBot="1">
      <c r="B21" s="42"/>
      <c r="C21" s="35"/>
      <c r="D21" s="35"/>
      <c r="E21" s="38"/>
      <c r="F21" s="38"/>
      <c r="G21" s="38"/>
      <c r="H21" s="38"/>
      <c r="I21" s="35"/>
      <c r="J21" s="35"/>
      <c r="K21" s="43"/>
      <c r="P21" s="69">
        <v>8</v>
      </c>
      <c r="Q21" s="63" t="s">
        <v>62</v>
      </c>
      <c r="R21" s="114">
        <f>'新100'!B6</f>
        <v>72974</v>
      </c>
      <c r="S21" s="113"/>
      <c r="T21" s="69">
        <v>8</v>
      </c>
      <c r="U21" s="63" t="s">
        <v>62</v>
      </c>
      <c r="V21" s="114">
        <f>'旧100'!B6</f>
        <v>62181</v>
      </c>
    </row>
    <row r="22" spans="2:22" ht="18.75">
      <c r="B22" s="42"/>
      <c r="C22" s="35"/>
      <c r="D22" s="35"/>
      <c r="E22" s="38"/>
      <c r="F22" s="38"/>
      <c r="G22" s="38"/>
      <c r="H22" s="38"/>
      <c r="I22" s="35"/>
      <c r="J22" s="35"/>
      <c r="K22" s="43"/>
      <c r="P22" s="113"/>
      <c r="Q22" s="113"/>
      <c r="R22" s="113"/>
      <c r="S22" s="113"/>
      <c r="T22" s="113"/>
      <c r="U22" s="113"/>
      <c r="V22" s="113"/>
    </row>
    <row r="23" spans="2:22" ht="13.5">
      <c r="B23" s="42"/>
      <c r="C23" s="35"/>
      <c r="D23" s="35"/>
      <c r="E23" s="35"/>
      <c r="F23" s="35"/>
      <c r="G23" s="35"/>
      <c r="H23" s="35"/>
      <c r="I23" s="35"/>
      <c r="J23" s="35"/>
      <c r="K23" s="43"/>
      <c r="P23" s="113"/>
      <c r="Q23" s="113"/>
      <c r="R23" s="113"/>
      <c r="S23" s="113"/>
      <c r="T23" s="113"/>
      <c r="U23" s="113"/>
      <c r="V23" s="113"/>
    </row>
    <row r="24" spans="1:24" s="62" customFormat="1" ht="14.25">
      <c r="A24" s="51"/>
      <c r="B24" s="104" t="s">
        <v>96</v>
      </c>
      <c r="C24" s="105"/>
      <c r="D24" s="105"/>
      <c r="E24" s="105"/>
      <c r="F24" s="105"/>
      <c r="G24" s="105"/>
      <c r="H24" s="105"/>
      <c r="I24" s="105"/>
      <c r="J24" s="105"/>
      <c r="K24" s="106"/>
      <c r="L24" s="51"/>
      <c r="M24" s="51"/>
      <c r="N24" s="51"/>
      <c r="O24" s="51"/>
      <c r="P24" s="113"/>
      <c r="Q24" s="113"/>
      <c r="R24" s="113"/>
      <c r="S24" s="113"/>
      <c r="T24" s="113"/>
      <c r="U24" s="113"/>
      <c r="V24" s="113"/>
      <c r="W24" s="51"/>
      <c r="X24" s="51"/>
    </row>
    <row r="25" spans="1:23" s="62" customFormat="1" ht="13.5">
      <c r="A25" s="51"/>
      <c r="B25" s="42"/>
      <c r="C25" s="39"/>
      <c r="D25" s="40"/>
      <c r="E25" s="35"/>
      <c r="F25" s="35"/>
      <c r="G25" s="35"/>
      <c r="H25" s="35"/>
      <c r="I25" s="35"/>
      <c r="J25" s="35"/>
      <c r="K25" s="43"/>
      <c r="L25" s="51"/>
      <c r="M25" s="51"/>
      <c r="N25" s="51"/>
      <c r="O25" s="51"/>
      <c r="P25" s="113"/>
      <c r="Q25" s="113"/>
      <c r="R25" s="113"/>
      <c r="S25" s="113"/>
      <c r="T25" s="113"/>
      <c r="U25" s="113"/>
      <c r="V25" s="113"/>
      <c r="W25" s="51"/>
    </row>
    <row r="26" spans="1:23" s="62" customFormat="1" ht="13.5">
      <c r="A26" s="51"/>
      <c r="B26" s="42"/>
      <c r="C26" s="196" t="s">
        <v>70</v>
      </c>
      <c r="D26" s="196"/>
      <c r="E26" s="196"/>
      <c r="F26" s="196"/>
      <c r="G26" s="196"/>
      <c r="H26" s="196"/>
      <c r="I26" s="196"/>
      <c r="J26" s="196"/>
      <c r="K26" s="197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s="62" customFormat="1" ht="13.5" customHeight="1" thickBot="1">
      <c r="A27" s="51"/>
      <c r="B27" s="42"/>
      <c r="C27" s="39"/>
      <c r="D27" s="40"/>
      <c r="E27" s="35"/>
      <c r="F27" s="35"/>
      <c r="G27" s="35"/>
      <c r="H27" s="35"/>
      <c r="I27" s="35"/>
      <c r="J27" s="35"/>
      <c r="K27" s="43"/>
      <c r="L27" s="51"/>
      <c r="M27" s="51"/>
      <c r="N27" s="51"/>
      <c r="O27" s="51"/>
      <c r="P27" s="52"/>
      <c r="Q27" s="51"/>
      <c r="R27" s="51"/>
      <c r="S27" s="52"/>
      <c r="T27" s="51"/>
      <c r="U27" s="51"/>
      <c r="V27" s="51"/>
      <c r="W27" s="51"/>
    </row>
    <row r="28" spans="1:23" s="62" customFormat="1" ht="13.5" customHeight="1">
      <c r="A28" s="51"/>
      <c r="B28" s="42"/>
      <c r="C28" s="35"/>
      <c r="D28" s="234" t="s">
        <v>1</v>
      </c>
      <c r="E28" s="221" t="s">
        <v>10</v>
      </c>
      <c r="F28" s="222"/>
      <c r="G28" s="35"/>
      <c r="H28" s="35"/>
      <c r="I28" s="35"/>
      <c r="J28" s="35"/>
      <c r="K28" s="43"/>
      <c r="L28" s="51"/>
      <c r="M28" s="51"/>
      <c r="N28" s="51"/>
      <c r="O28" s="117" t="s">
        <v>64</v>
      </c>
      <c r="P28" s="110" t="s">
        <v>73</v>
      </c>
      <c r="Q28" s="51"/>
      <c r="R28" s="51"/>
      <c r="S28" s="51"/>
      <c r="T28" s="51"/>
      <c r="U28" s="51"/>
      <c r="V28" s="51"/>
      <c r="W28" s="51"/>
    </row>
    <row r="29" spans="2:26" ht="45.75" customHeight="1" thickBot="1">
      <c r="B29" s="42"/>
      <c r="C29" s="35"/>
      <c r="D29" s="235"/>
      <c r="E29" s="223"/>
      <c r="F29" s="224"/>
      <c r="G29" s="35"/>
      <c r="H29" s="35"/>
      <c r="I29" s="35"/>
      <c r="J29" s="35"/>
      <c r="K29" s="43"/>
      <c r="P29" s="70">
        <f>IF(ISERROR(VLOOKUP(Q12,T14:V21,3)),0,VLOOKUP(Q12,T14:V21,3))</f>
        <v>2593</v>
      </c>
      <c r="X29" s="62"/>
      <c r="Z29" s="169"/>
    </row>
    <row r="30" spans="2:16" ht="14.25">
      <c r="B30" s="42"/>
      <c r="C30" s="35"/>
      <c r="D30" s="141"/>
      <c r="E30" s="35"/>
      <c r="F30" s="35"/>
      <c r="G30" s="35"/>
      <c r="H30" s="35"/>
      <c r="I30" s="35"/>
      <c r="J30" s="35"/>
      <c r="K30" s="43"/>
      <c r="P30" s="76"/>
    </row>
    <row r="31" spans="2:11" ht="14.25">
      <c r="B31" s="42"/>
      <c r="C31" s="35"/>
      <c r="D31" s="35"/>
      <c r="E31" s="35"/>
      <c r="F31" s="35"/>
      <c r="G31" s="35"/>
      <c r="H31" s="35"/>
      <c r="I31" s="35"/>
      <c r="J31" s="35"/>
      <c r="K31" s="43"/>
    </row>
    <row r="32" spans="2:16" ht="15.75">
      <c r="B32" s="137" t="s">
        <v>97</v>
      </c>
      <c r="C32" s="134"/>
      <c r="D32" s="134"/>
      <c r="E32" s="134"/>
      <c r="F32" s="134"/>
      <c r="G32" s="134"/>
      <c r="H32" s="134"/>
      <c r="I32" s="134"/>
      <c r="J32" s="134"/>
      <c r="K32" s="44"/>
      <c r="P32" s="110" t="s">
        <v>93</v>
      </c>
    </row>
    <row r="33" spans="2:19" ht="13.5" customHeight="1" thickBot="1">
      <c r="B33" s="42"/>
      <c r="C33" s="36"/>
      <c r="D33" s="36"/>
      <c r="E33" s="36"/>
      <c r="F33" s="36"/>
      <c r="G33" s="36"/>
      <c r="H33" s="36"/>
      <c r="I33" s="35"/>
      <c r="J33" s="35"/>
      <c r="K33" s="43"/>
      <c r="P33" s="70">
        <f>IF(ISERROR(VLOOKUP(Q12,P14:R21,3)),0,VLOOKUP(Q12,P14:R21,3))</f>
        <v>3454</v>
      </c>
      <c r="S33" s="52"/>
    </row>
    <row r="34" spans="2:11" ht="13.5" customHeight="1">
      <c r="B34" s="42"/>
      <c r="C34" s="36"/>
      <c r="D34" s="41" t="s">
        <v>5</v>
      </c>
      <c r="E34" s="218" t="s">
        <v>66</v>
      </c>
      <c r="F34" s="219"/>
      <c r="G34" s="220"/>
      <c r="H34" s="36"/>
      <c r="I34" s="35"/>
      <c r="J34" s="35"/>
      <c r="K34" s="43"/>
    </row>
    <row r="35" spans="2:11" ht="13.5" customHeight="1">
      <c r="B35" s="42"/>
      <c r="C35" s="36"/>
      <c r="D35" s="238" t="s">
        <v>98</v>
      </c>
      <c r="E35" s="240" t="str">
        <f>E19</f>
        <v>20ミリ</v>
      </c>
      <c r="F35" s="241"/>
      <c r="G35" s="242"/>
      <c r="H35" s="36"/>
      <c r="I35" s="35"/>
      <c r="J35" s="35"/>
      <c r="K35" s="43"/>
    </row>
    <row r="36" spans="2:11" ht="13.5" customHeight="1">
      <c r="B36" s="42"/>
      <c r="C36" s="36"/>
      <c r="D36" s="238"/>
      <c r="E36" s="243"/>
      <c r="F36" s="244"/>
      <c r="G36" s="245"/>
      <c r="H36" s="36"/>
      <c r="I36" s="35"/>
      <c r="J36" s="35"/>
      <c r="K36" s="43"/>
    </row>
    <row r="37" spans="2:19" ht="39" customHeight="1">
      <c r="B37" s="42"/>
      <c r="C37" s="36"/>
      <c r="D37" s="238" t="s">
        <v>99</v>
      </c>
      <c r="E37" s="240" t="str">
        <f>E28</f>
        <v>接続している</v>
      </c>
      <c r="F37" s="241"/>
      <c r="G37" s="242"/>
      <c r="H37" s="36"/>
      <c r="I37" s="35"/>
      <c r="J37" s="35"/>
      <c r="K37" s="43"/>
      <c r="P37" s="109"/>
      <c r="Q37" s="109"/>
      <c r="R37" s="109"/>
      <c r="S37" s="109"/>
    </row>
    <row r="38" spans="2:16" ht="14.25" customHeight="1" thickBot="1">
      <c r="B38" s="42"/>
      <c r="C38" s="36"/>
      <c r="D38" s="239"/>
      <c r="E38" s="252"/>
      <c r="F38" s="202"/>
      <c r="G38" s="203"/>
      <c r="H38" s="36"/>
      <c r="I38" s="35"/>
      <c r="J38" s="35"/>
      <c r="K38" s="43"/>
      <c r="O38" s="117" t="s">
        <v>65</v>
      </c>
      <c r="P38" s="110" t="s">
        <v>74</v>
      </c>
    </row>
    <row r="39" spans="2:16" ht="19.5" customHeight="1">
      <c r="B39" s="42"/>
      <c r="C39" s="36"/>
      <c r="D39" s="36"/>
      <c r="E39" s="36"/>
      <c r="F39" s="36"/>
      <c r="G39" s="36"/>
      <c r="H39" s="36"/>
      <c r="I39" s="35"/>
      <c r="J39" s="35"/>
      <c r="K39" s="43"/>
      <c r="P39" s="71" t="e">
        <f>IF(OR(E28=D126,E28=""),0,IF(Q11=10,'深谷下水'!C6,IF(Q11=20,'岡部下水'!C6,IF(Q11=30,'川本花園下水'!C6,IF(Q11=40,'川本花園下水'!C6)))))</f>
        <v>#REF!</v>
      </c>
    </row>
    <row r="40" spans="2:11" ht="13.5" customHeight="1">
      <c r="B40" s="42"/>
      <c r="C40" s="36"/>
      <c r="D40" s="36"/>
      <c r="E40" s="36"/>
      <c r="F40" s="36"/>
      <c r="G40" s="36"/>
      <c r="H40" s="36"/>
      <c r="I40" s="35"/>
      <c r="J40" s="35"/>
      <c r="K40" s="43"/>
    </row>
    <row r="41" spans="2:21" ht="13.5" customHeight="1">
      <c r="B41" s="42"/>
      <c r="C41" s="36"/>
      <c r="D41" s="36"/>
      <c r="E41" s="36"/>
      <c r="F41" s="36"/>
      <c r="G41" s="36"/>
      <c r="H41" s="36"/>
      <c r="I41" s="35"/>
      <c r="J41" s="35"/>
      <c r="K41" s="43"/>
      <c r="O41" s="162" t="s">
        <v>116</v>
      </c>
      <c r="P41" s="147"/>
      <c r="Q41" s="147"/>
      <c r="R41" s="147"/>
      <c r="S41" s="147"/>
      <c r="T41" s="147"/>
      <c r="U41" s="148"/>
    </row>
    <row r="42" spans="2:21" ht="13.5" customHeight="1" thickBot="1">
      <c r="B42" s="46"/>
      <c r="C42" s="47"/>
      <c r="D42" s="47"/>
      <c r="E42" s="47"/>
      <c r="F42" s="47"/>
      <c r="G42" s="47"/>
      <c r="H42" s="47"/>
      <c r="I42" s="48"/>
      <c r="J42" s="48"/>
      <c r="K42" s="49"/>
      <c r="O42" s="149"/>
      <c r="P42" s="150" t="s">
        <v>94</v>
      </c>
      <c r="Q42" s="150" t="s">
        <v>105</v>
      </c>
      <c r="R42" s="150" t="s">
        <v>111</v>
      </c>
      <c r="S42" s="150" t="s">
        <v>112</v>
      </c>
      <c r="T42" s="150" t="s">
        <v>117</v>
      </c>
      <c r="U42" s="151"/>
    </row>
    <row r="43" spans="2:21" ht="13.5" customHeight="1" thickTop="1">
      <c r="B43" s="57"/>
      <c r="C43" s="60"/>
      <c r="D43" s="60"/>
      <c r="E43" s="60"/>
      <c r="F43" s="60"/>
      <c r="G43" s="60"/>
      <c r="H43" s="60"/>
      <c r="I43" s="57"/>
      <c r="J43" s="57"/>
      <c r="K43" s="57"/>
      <c r="O43" s="149"/>
      <c r="P43" s="163">
        <f>+T50</f>
        <v>4290</v>
      </c>
      <c r="Q43" s="152" t="s">
        <v>106</v>
      </c>
      <c r="R43" s="153">
        <f>+IF(C60&gt;10,10,C60)</f>
        <v>10</v>
      </c>
      <c r="S43" s="154">
        <f>60*1.1</f>
        <v>66</v>
      </c>
      <c r="T43" s="163">
        <f>+R43*S43</f>
        <v>660</v>
      </c>
      <c r="U43" s="151"/>
    </row>
    <row r="44" spans="2:21" ht="13.5" customHeight="1">
      <c r="B44" s="62"/>
      <c r="C44" s="72"/>
      <c r="D44" s="184" t="s">
        <v>71</v>
      </c>
      <c r="E44" s="184"/>
      <c r="F44" s="184"/>
      <c r="G44" s="184"/>
      <c r="H44" s="184"/>
      <c r="I44" s="184"/>
      <c r="J44" s="184"/>
      <c r="K44" s="62"/>
      <c r="O44" s="149"/>
      <c r="P44" s="62"/>
      <c r="Q44" s="155" t="s">
        <v>107</v>
      </c>
      <c r="R44" s="156">
        <f>+IF(C60&lt;10,0,IF(C60&gt;40,30,C60-10))</f>
        <v>15</v>
      </c>
      <c r="S44" s="62">
        <f>100*1.1</f>
        <v>110.00000000000001</v>
      </c>
      <c r="T44" s="163">
        <f>+R44*S44</f>
        <v>1650.0000000000002</v>
      </c>
      <c r="U44" s="151"/>
    </row>
    <row r="45" spans="4:21" ht="13.5" customHeight="1">
      <c r="D45" s="184"/>
      <c r="E45" s="184"/>
      <c r="F45" s="184"/>
      <c r="G45" s="184"/>
      <c r="H45" s="184"/>
      <c r="I45" s="184"/>
      <c r="J45" s="184"/>
      <c r="K45" s="73"/>
      <c r="O45" s="149"/>
      <c r="P45" s="62"/>
      <c r="Q45" s="155" t="s">
        <v>108</v>
      </c>
      <c r="R45" s="156">
        <f>+IF(C60&lt;40,0,IF(C60&gt;100,60,C60-40))</f>
        <v>0</v>
      </c>
      <c r="S45" s="62">
        <f>160*1.1</f>
        <v>176</v>
      </c>
      <c r="T45" s="163">
        <f>+R45*S45</f>
        <v>0</v>
      </c>
      <c r="U45" s="151"/>
    </row>
    <row r="46" spans="2:21" ht="17.25">
      <c r="B46" s="62"/>
      <c r="C46" s="72"/>
      <c r="D46" s="73"/>
      <c r="E46" s="73"/>
      <c r="F46" s="73"/>
      <c r="G46" s="73"/>
      <c r="H46" s="73"/>
      <c r="I46" s="73"/>
      <c r="J46" s="73"/>
      <c r="K46" s="73"/>
      <c r="O46" s="149"/>
      <c r="P46" s="62"/>
      <c r="Q46" s="157" t="s">
        <v>109</v>
      </c>
      <c r="R46" s="156">
        <f>+IF(C60&lt;100,0,C60-100)</f>
        <v>0</v>
      </c>
      <c r="S46" s="62">
        <f>200*1.1</f>
        <v>220.00000000000003</v>
      </c>
      <c r="T46" s="163">
        <f>+R46*S46</f>
        <v>0</v>
      </c>
      <c r="U46" s="151"/>
    </row>
    <row r="47" spans="2:21" ht="13.5">
      <c r="B47" s="62"/>
      <c r="C47" s="72"/>
      <c r="D47" s="74"/>
      <c r="E47" s="74"/>
      <c r="F47" s="74"/>
      <c r="G47" s="74"/>
      <c r="H47" s="74"/>
      <c r="I47" s="74"/>
      <c r="J47" s="62"/>
      <c r="K47" s="62"/>
      <c r="O47" s="149"/>
      <c r="P47" s="62"/>
      <c r="Q47" s="157" t="s">
        <v>110</v>
      </c>
      <c r="R47" s="163">
        <f>+SUM(R43:R46)</f>
        <v>25</v>
      </c>
      <c r="S47" s="62"/>
      <c r="T47" s="163">
        <f>+SUM(T43:T46)</f>
        <v>2310</v>
      </c>
      <c r="U47" s="151"/>
    </row>
    <row r="48" spans="2:21" ht="13.5">
      <c r="B48" s="62"/>
      <c r="C48" s="72"/>
      <c r="D48" s="72"/>
      <c r="E48" s="72"/>
      <c r="F48" s="72"/>
      <c r="G48" s="72"/>
      <c r="H48" s="72"/>
      <c r="I48" s="62"/>
      <c r="J48" s="62"/>
      <c r="K48" s="62"/>
      <c r="O48" s="149"/>
      <c r="P48" s="62"/>
      <c r="Q48" s="156"/>
      <c r="R48" s="156"/>
      <c r="S48" s="150" t="s">
        <v>113</v>
      </c>
      <c r="T48" s="163">
        <f>1800*1.1</f>
        <v>1980.0000000000002</v>
      </c>
      <c r="U48" s="151"/>
    </row>
    <row r="49" spans="2:21" ht="13.5">
      <c r="B49" s="62"/>
      <c r="C49" s="72"/>
      <c r="D49" s="72"/>
      <c r="E49" s="72"/>
      <c r="F49" s="72"/>
      <c r="G49" s="72"/>
      <c r="H49" s="72"/>
      <c r="I49" s="62"/>
      <c r="J49" s="62"/>
      <c r="K49" s="62"/>
      <c r="O49" s="149"/>
      <c r="P49" s="62"/>
      <c r="Q49" s="156"/>
      <c r="R49" s="156"/>
      <c r="S49" s="150" t="s">
        <v>114</v>
      </c>
      <c r="T49" s="163">
        <f>+T48+T47</f>
        <v>4290</v>
      </c>
      <c r="U49" s="151"/>
    </row>
    <row r="50" spans="2:21" ht="13.5">
      <c r="B50" s="62"/>
      <c r="C50" s="72"/>
      <c r="D50" s="72"/>
      <c r="E50" s="72"/>
      <c r="F50" s="72"/>
      <c r="G50" s="72"/>
      <c r="H50" s="72"/>
      <c r="I50" s="62"/>
      <c r="J50" s="62"/>
      <c r="K50" s="62"/>
      <c r="O50" s="149"/>
      <c r="P50" s="62"/>
      <c r="Q50" s="156"/>
      <c r="R50" s="156"/>
      <c r="S50" s="150" t="s">
        <v>115</v>
      </c>
      <c r="T50" s="163">
        <f>+ROUNDDOWN(T49,0)</f>
        <v>4290</v>
      </c>
      <c r="U50" s="158"/>
    </row>
    <row r="51" spans="2:21" ht="20.25">
      <c r="B51" s="246" t="s">
        <v>72</v>
      </c>
      <c r="C51" s="246"/>
      <c r="D51" s="246"/>
      <c r="E51" s="56"/>
      <c r="F51" s="60"/>
      <c r="G51" s="60"/>
      <c r="H51" s="60"/>
      <c r="I51" s="57"/>
      <c r="J51" s="57"/>
      <c r="K51" s="57"/>
      <c r="O51" s="159"/>
      <c r="P51" s="160"/>
      <c r="Q51" s="160"/>
      <c r="R51" s="160"/>
      <c r="S51" s="160"/>
      <c r="T51" s="160"/>
      <c r="U51" s="161"/>
    </row>
    <row r="52" spans="2:11" ht="13.5" customHeight="1" thickBot="1">
      <c r="B52" s="247"/>
      <c r="C52" s="247"/>
      <c r="D52" s="247"/>
      <c r="E52" s="103"/>
      <c r="F52" s="68"/>
      <c r="G52" s="68"/>
      <c r="H52" s="68"/>
      <c r="I52" s="68"/>
      <c r="J52" s="57"/>
      <c r="K52" s="57"/>
    </row>
    <row r="53" spans="2:11" ht="13.5" customHeight="1" thickTop="1">
      <c r="B53" s="84"/>
      <c r="C53" s="85"/>
      <c r="D53" s="85"/>
      <c r="E53" s="85"/>
      <c r="F53" s="85"/>
      <c r="G53" s="85"/>
      <c r="H53" s="85"/>
      <c r="I53" s="85"/>
      <c r="J53" s="86"/>
      <c r="K53" s="87"/>
    </row>
    <row r="54" spans="2:11" ht="14.25">
      <c r="B54" s="88"/>
      <c r="C54" s="37"/>
      <c r="D54" s="37"/>
      <c r="E54" s="37"/>
      <c r="F54" s="37"/>
      <c r="G54" s="37"/>
      <c r="H54" s="37"/>
      <c r="I54" s="37"/>
      <c r="J54" s="35"/>
      <c r="K54" s="89"/>
    </row>
    <row r="55" spans="2:15" ht="15.75">
      <c r="B55" s="133" t="s">
        <v>68</v>
      </c>
      <c r="C55" s="134"/>
      <c r="D55" s="134"/>
      <c r="E55" s="134"/>
      <c r="F55" s="134"/>
      <c r="G55" s="134"/>
      <c r="H55" s="134"/>
      <c r="I55" s="134"/>
      <c r="J55" s="134"/>
      <c r="K55" s="90"/>
      <c r="O55" s="76"/>
    </row>
    <row r="56" spans="2:15" ht="14.25">
      <c r="B56" s="135"/>
      <c r="C56" s="36"/>
      <c r="D56" s="36"/>
      <c r="E56" s="36"/>
      <c r="F56" s="36"/>
      <c r="G56" s="36"/>
      <c r="H56" s="36"/>
      <c r="I56" s="36"/>
      <c r="J56" s="36"/>
      <c r="K56" s="91"/>
      <c r="O56" s="76"/>
    </row>
    <row r="57" spans="2:18" ht="15" thickBot="1">
      <c r="B57" s="135"/>
      <c r="C57" s="36"/>
      <c r="D57" s="36"/>
      <c r="E57" s="36"/>
      <c r="F57" s="36"/>
      <c r="G57" s="36"/>
      <c r="H57" s="36"/>
      <c r="I57" s="36"/>
      <c r="J57" s="36"/>
      <c r="K57" s="91"/>
      <c r="O57" s="76"/>
      <c r="P57" s="52" t="s">
        <v>63</v>
      </c>
      <c r="Q57" s="52"/>
      <c r="R57" s="52"/>
    </row>
    <row r="58" spans="2:18" ht="15" thickBot="1">
      <c r="B58" s="92"/>
      <c r="C58" s="93"/>
      <c r="D58" s="93"/>
      <c r="E58" s="37"/>
      <c r="F58" s="37"/>
      <c r="G58" s="37"/>
      <c r="H58" s="37"/>
      <c r="I58" s="37"/>
      <c r="J58" s="35"/>
      <c r="K58" s="89"/>
      <c r="O58" s="61"/>
      <c r="P58" s="236" t="s">
        <v>51</v>
      </c>
      <c r="Q58" s="237"/>
      <c r="R58" s="118"/>
    </row>
    <row r="59" spans="2:18" ht="20.25" customHeight="1" thickBot="1">
      <c r="B59" s="88"/>
      <c r="C59" s="250" t="s">
        <v>14</v>
      </c>
      <c r="D59" s="251"/>
      <c r="E59" s="37"/>
      <c r="F59" s="136"/>
      <c r="G59" s="136"/>
      <c r="H59" s="136"/>
      <c r="I59" s="37"/>
      <c r="J59" s="35"/>
      <c r="K59" s="89"/>
      <c r="P59" s="119" t="s">
        <v>50</v>
      </c>
      <c r="Q59" s="75" t="s">
        <v>52</v>
      </c>
      <c r="R59" s="120"/>
    </row>
    <row r="60" spans="2:18" ht="14.25" customHeight="1" thickBot="1">
      <c r="B60" s="88"/>
      <c r="C60" s="228">
        <v>25</v>
      </c>
      <c r="D60" s="229"/>
      <c r="E60" s="37"/>
      <c r="F60" s="140"/>
      <c r="G60" s="140"/>
      <c r="H60" s="140"/>
      <c r="I60"/>
      <c r="J60" s="35"/>
      <c r="K60" s="89"/>
      <c r="P60" s="121">
        <f>C60</f>
        <v>25</v>
      </c>
      <c r="Q60" s="77">
        <f>C60</f>
        <v>25</v>
      </c>
      <c r="R60" s="122"/>
    </row>
    <row r="61" spans="2:18" ht="27.75" customHeight="1" thickBot="1">
      <c r="B61" s="88"/>
      <c r="C61" s="230"/>
      <c r="D61" s="231"/>
      <c r="E61" s="37"/>
      <c r="F61" s="140"/>
      <c r="G61" s="140"/>
      <c r="H61" s="140"/>
      <c r="I61" s="37"/>
      <c r="J61" s="35"/>
      <c r="K61" s="89"/>
      <c r="P61" s="123">
        <f>P60</f>
        <v>25</v>
      </c>
      <c r="Q61" s="124">
        <f>P61</f>
        <v>25</v>
      </c>
      <c r="R61" s="125" t="s">
        <v>9</v>
      </c>
    </row>
    <row r="62" spans="2:11" ht="13.5" customHeight="1">
      <c r="B62" s="88"/>
      <c r="C62" s="230"/>
      <c r="D62" s="231"/>
      <c r="E62" s="37"/>
      <c r="F62" s="140"/>
      <c r="G62" s="140"/>
      <c r="H62" s="140"/>
      <c r="I62" s="37"/>
      <c r="J62" s="35"/>
      <c r="K62" s="89"/>
    </row>
    <row r="63" spans="2:11" ht="14.25" customHeight="1" thickBot="1">
      <c r="B63" s="88"/>
      <c r="C63" s="232"/>
      <c r="D63" s="233"/>
      <c r="E63" s="37"/>
      <c r="F63" s="140"/>
      <c r="G63" s="140"/>
      <c r="H63" s="140"/>
      <c r="I63" s="37"/>
      <c r="J63" s="35"/>
      <c r="K63" s="89"/>
    </row>
    <row r="64" spans="2:11" ht="14.25">
      <c r="B64" s="88"/>
      <c r="C64" s="37"/>
      <c r="D64" s="37"/>
      <c r="E64" s="37"/>
      <c r="F64" s="37"/>
      <c r="G64" s="37"/>
      <c r="H64" s="37"/>
      <c r="I64" s="37"/>
      <c r="J64" s="35"/>
      <c r="K64" s="89"/>
    </row>
    <row r="65" spans="2:11" ht="14.25">
      <c r="B65" s="88"/>
      <c r="C65" s="37"/>
      <c r="D65" s="37"/>
      <c r="E65" s="37"/>
      <c r="F65" s="37"/>
      <c r="G65" s="37"/>
      <c r="H65" s="37"/>
      <c r="I65" s="37"/>
      <c r="J65" s="35"/>
      <c r="K65" s="89"/>
    </row>
    <row r="66" spans="2:11" ht="20.25" customHeight="1">
      <c r="B66" s="133" t="s">
        <v>12</v>
      </c>
      <c r="C66" s="134"/>
      <c r="D66" s="134"/>
      <c r="E66" s="134"/>
      <c r="F66" s="134"/>
      <c r="G66" s="134"/>
      <c r="H66" s="134"/>
      <c r="I66" s="134"/>
      <c r="J66" s="134"/>
      <c r="K66" s="90"/>
    </row>
    <row r="67" spans="2:11" ht="17.25" customHeight="1" thickBot="1">
      <c r="B67" s="88"/>
      <c r="C67" s="37"/>
      <c r="D67" s="37"/>
      <c r="E67" s="37"/>
      <c r="F67" s="37"/>
      <c r="G67" s="37"/>
      <c r="H67" s="37"/>
      <c r="I67" s="37"/>
      <c r="J67" s="35"/>
      <c r="K67" s="89"/>
    </row>
    <row r="68" spans="2:11" ht="13.5" customHeight="1">
      <c r="B68" s="88"/>
      <c r="C68" s="204" t="s">
        <v>16</v>
      </c>
      <c r="D68" s="205"/>
      <c r="E68" s="198">
        <f>P33</f>
        <v>3454</v>
      </c>
      <c r="F68" s="199"/>
      <c r="G68" s="200"/>
      <c r="H68" s="37"/>
      <c r="I68" s="37"/>
      <c r="J68" s="35"/>
      <c r="K68" s="89"/>
    </row>
    <row r="69" spans="2:11" ht="13.5" customHeight="1" thickBot="1">
      <c r="B69" s="88"/>
      <c r="C69" s="206"/>
      <c r="D69" s="207"/>
      <c r="E69" s="201"/>
      <c r="F69" s="202"/>
      <c r="G69" s="203"/>
      <c r="H69" s="37"/>
      <c r="I69" s="37"/>
      <c r="J69" s="35"/>
      <c r="K69" s="89"/>
    </row>
    <row r="70" spans="2:11" ht="14.25" customHeight="1">
      <c r="B70" s="88"/>
      <c r="C70" s="94"/>
      <c r="D70" s="94"/>
      <c r="E70" s="93"/>
      <c r="F70" s="93"/>
      <c r="G70" s="93"/>
      <c r="H70" s="37"/>
      <c r="I70" s="37"/>
      <c r="J70" s="35"/>
      <c r="K70" s="89"/>
    </row>
    <row r="71" spans="2:11" ht="18.75">
      <c r="B71" s="88"/>
      <c r="C71" s="94"/>
      <c r="D71" s="94"/>
      <c r="E71" s="95" t="s">
        <v>15</v>
      </c>
      <c r="F71" s="93"/>
      <c r="G71" s="93"/>
      <c r="H71" s="37"/>
      <c r="I71" s="37"/>
      <c r="J71" s="35"/>
      <c r="K71" s="89"/>
    </row>
    <row r="72" spans="2:11" ht="14.25" thickBot="1">
      <c r="B72" s="88"/>
      <c r="C72" s="37"/>
      <c r="D72" s="37"/>
      <c r="E72" s="37"/>
      <c r="F72" s="37"/>
      <c r="G72" s="37"/>
      <c r="H72" s="37"/>
      <c r="I72" s="37"/>
      <c r="J72" s="35"/>
      <c r="K72" s="89"/>
    </row>
    <row r="73" spans="2:11" ht="13.5" customHeight="1">
      <c r="B73" s="88"/>
      <c r="C73" s="204" t="s">
        <v>17</v>
      </c>
      <c r="D73" s="205"/>
      <c r="E73" s="198">
        <f>+IF(E28="接続していない",+T50*0,IF(E28="",T50*0,T50))</f>
        <v>4290</v>
      </c>
      <c r="F73" s="199"/>
      <c r="G73" s="200"/>
      <c r="H73" s="37"/>
      <c r="I73" s="37"/>
      <c r="J73" s="35"/>
      <c r="K73" s="89"/>
    </row>
    <row r="74" spans="2:11" ht="14.25" customHeight="1" thickBot="1">
      <c r="B74" s="88"/>
      <c r="C74" s="206"/>
      <c r="D74" s="207"/>
      <c r="E74" s="201"/>
      <c r="F74" s="202"/>
      <c r="G74" s="203"/>
      <c r="H74" s="37"/>
      <c r="I74" s="37"/>
      <c r="J74" s="35"/>
      <c r="K74" s="89"/>
    </row>
    <row r="75" spans="2:11" ht="14.25" customHeight="1">
      <c r="B75" s="88"/>
      <c r="C75" s="37"/>
      <c r="D75" s="37"/>
      <c r="E75" s="37"/>
      <c r="F75" s="37"/>
      <c r="G75" s="37"/>
      <c r="H75" s="37"/>
      <c r="I75" s="37"/>
      <c r="J75" s="35"/>
      <c r="K75" s="89"/>
    </row>
    <row r="76" spans="2:11" ht="14.25" customHeight="1">
      <c r="B76" s="88"/>
      <c r="C76" s="37"/>
      <c r="D76" s="37"/>
      <c r="E76" s="126" t="s">
        <v>53</v>
      </c>
      <c r="F76" s="37"/>
      <c r="G76" s="37"/>
      <c r="H76" s="37"/>
      <c r="I76" s="37"/>
      <c r="J76" s="35"/>
      <c r="K76" s="89"/>
    </row>
    <row r="77" spans="2:11" ht="14.25" customHeight="1" thickBot="1">
      <c r="B77" s="88"/>
      <c r="C77" s="37"/>
      <c r="D77" s="37"/>
      <c r="E77" s="37"/>
      <c r="F77" s="37"/>
      <c r="G77" s="37"/>
      <c r="H77" s="37"/>
      <c r="I77" s="37"/>
      <c r="J77" s="35"/>
      <c r="K77" s="89"/>
    </row>
    <row r="78" spans="2:11" ht="14.25" customHeight="1">
      <c r="B78" s="88"/>
      <c r="C78" s="204" t="s">
        <v>18</v>
      </c>
      <c r="D78" s="205"/>
      <c r="E78" s="198">
        <f>E68+E73</f>
        <v>7744</v>
      </c>
      <c r="F78" s="199"/>
      <c r="G78" s="200"/>
      <c r="H78" s="37"/>
      <c r="I78" s="37"/>
      <c r="J78" s="35"/>
      <c r="K78" s="89"/>
    </row>
    <row r="79" spans="2:11" ht="14.25" customHeight="1" thickBot="1">
      <c r="B79" s="88"/>
      <c r="C79" s="206"/>
      <c r="D79" s="207"/>
      <c r="E79" s="201"/>
      <c r="F79" s="202"/>
      <c r="G79" s="203"/>
      <c r="H79" s="37"/>
      <c r="I79" s="37"/>
      <c r="J79" s="35"/>
      <c r="K79" s="89"/>
    </row>
    <row r="80" spans="2:11" ht="14.25" customHeight="1">
      <c r="B80" s="88"/>
      <c r="C80" s="37"/>
      <c r="D80" s="37"/>
      <c r="E80" s="37"/>
      <c r="F80" s="37"/>
      <c r="G80" s="37"/>
      <c r="H80" s="37"/>
      <c r="I80" s="37"/>
      <c r="J80" s="35"/>
      <c r="K80" s="89"/>
    </row>
    <row r="81" spans="2:11" ht="14.25" customHeight="1">
      <c r="B81" s="88"/>
      <c r="C81" s="37"/>
      <c r="D81" s="37"/>
      <c r="E81" s="37"/>
      <c r="F81" s="37"/>
      <c r="G81" s="37"/>
      <c r="H81" s="37"/>
      <c r="I81" s="37"/>
      <c r="J81" s="35"/>
      <c r="K81" s="89"/>
    </row>
    <row r="82" spans="2:11" ht="14.25" customHeight="1">
      <c r="B82" s="96"/>
      <c r="C82" s="37"/>
      <c r="D82" s="37"/>
      <c r="E82" s="37"/>
      <c r="F82" s="37"/>
      <c r="G82" s="37"/>
      <c r="H82" s="37"/>
      <c r="I82" s="37"/>
      <c r="J82" s="35"/>
      <c r="K82" s="89"/>
    </row>
    <row r="83" spans="2:11" ht="14.25" customHeight="1">
      <c r="B83" s="88"/>
      <c r="C83" s="37"/>
      <c r="D83" s="37"/>
      <c r="E83" s="37"/>
      <c r="F83" s="37"/>
      <c r="G83" s="37"/>
      <c r="H83" s="37"/>
      <c r="I83" s="37"/>
      <c r="J83" s="35"/>
      <c r="K83" s="89"/>
    </row>
    <row r="84" spans="2:11" ht="14.25">
      <c r="B84" s="135"/>
      <c r="C84" s="36"/>
      <c r="D84" s="36"/>
      <c r="E84" s="36"/>
      <c r="F84" s="36"/>
      <c r="G84" s="36"/>
      <c r="H84" s="36"/>
      <c r="I84" s="36"/>
      <c r="J84" s="36"/>
      <c r="K84" s="90"/>
    </row>
    <row r="85" spans="2:11" ht="14.25" customHeight="1">
      <c r="B85" s="135"/>
      <c r="C85" s="36"/>
      <c r="D85" s="36"/>
      <c r="E85" s="36"/>
      <c r="F85" s="36"/>
      <c r="G85" s="36"/>
      <c r="H85" s="36"/>
      <c r="I85" s="36"/>
      <c r="J85" s="36"/>
      <c r="K85" s="90"/>
    </row>
    <row r="86" spans="2:22" ht="14.25" customHeight="1">
      <c r="B86" s="135"/>
      <c r="C86" s="36"/>
      <c r="D86" s="36"/>
      <c r="E86" s="36"/>
      <c r="F86" s="36"/>
      <c r="G86" s="36"/>
      <c r="H86" s="36"/>
      <c r="I86" s="36"/>
      <c r="J86" s="36"/>
      <c r="K86" s="90"/>
      <c r="O86" s="78"/>
      <c r="V86" s="78"/>
    </row>
    <row r="87" spans="2:22" ht="14.25" customHeight="1">
      <c r="B87" s="135"/>
      <c r="C87" s="36"/>
      <c r="D87" s="36"/>
      <c r="E87" s="36"/>
      <c r="F87" s="36"/>
      <c r="G87" s="36"/>
      <c r="H87" s="36"/>
      <c r="I87" s="36"/>
      <c r="J87" s="36"/>
      <c r="K87" s="90"/>
      <c r="O87" s="78"/>
      <c r="T87" s="78"/>
      <c r="U87" s="78"/>
      <c r="V87" s="78"/>
    </row>
    <row r="88" spans="2:22" ht="14.25" customHeight="1">
      <c r="B88" s="138"/>
      <c r="C88" s="39"/>
      <c r="D88" s="39"/>
      <c r="E88" s="39"/>
      <c r="F88" s="39"/>
      <c r="G88" s="39"/>
      <c r="H88" s="39"/>
      <c r="I88" s="39"/>
      <c r="J88" s="39"/>
      <c r="K88" s="139"/>
      <c r="O88" s="78"/>
      <c r="T88" s="78"/>
      <c r="U88" s="78"/>
      <c r="V88" s="78"/>
    </row>
    <row r="89" spans="1:23" ht="14.25" customHeight="1" thickBot="1">
      <c r="A89" s="78"/>
      <c r="B89" s="145"/>
      <c r="C89" s="146"/>
      <c r="D89" s="146"/>
      <c r="E89" s="146"/>
      <c r="F89" s="146"/>
      <c r="G89" s="146"/>
      <c r="H89" s="146"/>
      <c r="I89" s="167"/>
      <c r="J89" s="167"/>
      <c r="K89" s="168"/>
      <c r="L89" s="78"/>
      <c r="M89" s="78"/>
      <c r="N89" s="78"/>
      <c r="O89" s="78"/>
      <c r="T89" s="78"/>
      <c r="U89" s="78"/>
      <c r="V89" s="78"/>
      <c r="W89" s="78"/>
    </row>
    <row r="90" spans="1:23" ht="14.25" customHeight="1" hidden="1" thickBot="1" thickTop="1">
      <c r="A90" s="78"/>
      <c r="B90" s="97"/>
      <c r="C90" s="212"/>
      <c r="D90" s="213"/>
      <c r="E90" s="98"/>
      <c r="F90" s="143"/>
      <c r="G90" s="144"/>
      <c r="H90" s="98"/>
      <c r="I90" s="212"/>
      <c r="J90" s="213"/>
      <c r="K90" s="99"/>
      <c r="L90" s="78"/>
      <c r="M90" s="78"/>
      <c r="N90" s="78"/>
      <c r="O90" s="78"/>
      <c r="T90" s="78"/>
      <c r="U90" s="78"/>
      <c r="V90" s="78"/>
      <c r="W90" s="78"/>
    </row>
    <row r="91" spans="1:23" ht="14.25" customHeight="1" hidden="1">
      <c r="A91" s="78"/>
      <c r="B91" s="97"/>
      <c r="C91" s="214"/>
      <c r="D91" s="215"/>
      <c r="E91" s="185"/>
      <c r="F91" s="129"/>
      <c r="G91" s="130"/>
      <c r="H91" s="249"/>
      <c r="I91" s="214"/>
      <c r="J91" s="215"/>
      <c r="K91" s="99"/>
      <c r="L91" s="78"/>
      <c r="M91" s="78"/>
      <c r="N91" s="78"/>
      <c r="O91" s="78"/>
      <c r="T91" s="78"/>
      <c r="U91" s="78"/>
      <c r="V91" s="78"/>
      <c r="W91" s="78"/>
    </row>
    <row r="92" spans="1:23" ht="14.25" customHeight="1" hidden="1" thickBot="1">
      <c r="A92" s="78"/>
      <c r="B92" s="97"/>
      <c r="C92" s="216"/>
      <c r="D92" s="217"/>
      <c r="E92" s="185"/>
      <c r="F92" s="131"/>
      <c r="G92" s="132"/>
      <c r="H92" s="249"/>
      <c r="I92" s="216"/>
      <c r="J92" s="217"/>
      <c r="K92" s="99"/>
      <c r="L92" s="78"/>
      <c r="M92" s="78"/>
      <c r="N92" s="78"/>
      <c r="O92" s="78"/>
      <c r="S92" s="78"/>
      <c r="T92" s="78"/>
      <c r="U92" s="78"/>
      <c r="V92" s="78"/>
      <c r="W92" s="78"/>
    </row>
    <row r="93" spans="1:23" ht="14.25" customHeight="1" hidden="1" thickBot="1">
      <c r="A93" s="78"/>
      <c r="B93" s="97"/>
      <c r="C93" s="98"/>
      <c r="D93" s="98"/>
      <c r="E93" s="111"/>
      <c r="F93" s="108"/>
      <c r="G93" s="107"/>
      <c r="H93" s="98"/>
      <c r="I93" s="98"/>
      <c r="J93" s="98"/>
      <c r="K93" s="99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1:23" ht="14.25" customHeight="1" hidden="1" thickBot="1">
      <c r="A94" s="78"/>
      <c r="B94" s="97"/>
      <c r="C94" s="209"/>
      <c r="D94" s="211"/>
      <c r="E94" s="111"/>
      <c r="F94" s="127"/>
      <c r="G94" s="128"/>
      <c r="H94" s="98"/>
      <c r="I94" s="209"/>
      <c r="J94" s="211"/>
      <c r="K94" s="99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1:23" ht="14.25" customHeight="1" hidden="1">
      <c r="A95" s="78"/>
      <c r="B95" s="97"/>
      <c r="C95" s="214"/>
      <c r="D95" s="215"/>
      <c r="E95" s="185"/>
      <c r="F95" s="129"/>
      <c r="G95" s="130"/>
      <c r="H95" s="248"/>
      <c r="I95" s="214"/>
      <c r="J95" s="215"/>
      <c r="K95" s="99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1:24" ht="14.25" customHeight="1" hidden="1" thickBot="1">
      <c r="A96" s="78"/>
      <c r="B96" s="97"/>
      <c r="C96" s="216"/>
      <c r="D96" s="217"/>
      <c r="E96" s="185"/>
      <c r="F96" s="131"/>
      <c r="G96" s="132"/>
      <c r="H96" s="248"/>
      <c r="I96" s="216"/>
      <c r="J96" s="217"/>
      <c r="K96" s="99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</row>
    <row r="97" spans="2:11" s="78" customFormat="1" ht="14.25" customHeight="1" hidden="1">
      <c r="B97" s="97"/>
      <c r="C97" s="98"/>
      <c r="D97" s="98"/>
      <c r="E97" s="98"/>
      <c r="F97" s="98"/>
      <c r="G97" s="98"/>
      <c r="H97" s="98"/>
      <c r="I97" s="98"/>
      <c r="J97" s="98"/>
      <c r="K97" s="99"/>
    </row>
    <row r="98" spans="2:11" s="78" customFormat="1" ht="14.25" customHeight="1" hidden="1" thickBot="1">
      <c r="B98" s="97"/>
      <c r="C98" s="98"/>
      <c r="D98" s="98"/>
      <c r="E98" s="98"/>
      <c r="F98" s="98"/>
      <c r="G98" s="98"/>
      <c r="H98" s="98"/>
      <c r="I98" s="98"/>
      <c r="J98" s="98"/>
      <c r="K98" s="99"/>
    </row>
    <row r="99" spans="2:11" s="78" customFormat="1" ht="14.25" customHeight="1" hidden="1" thickBot="1">
      <c r="B99" s="97"/>
      <c r="C99" s="98"/>
      <c r="D99" s="98"/>
      <c r="E99" s="98"/>
      <c r="F99" s="98"/>
      <c r="G99" s="209"/>
      <c r="H99" s="210"/>
      <c r="I99" s="210"/>
      <c r="J99" s="211"/>
      <c r="K99" s="99"/>
    </row>
    <row r="100" spans="2:11" s="78" customFormat="1" ht="14.25" customHeight="1" hidden="1">
      <c r="B100" s="97"/>
      <c r="C100" s="98"/>
      <c r="D100" s="98"/>
      <c r="E100" s="98"/>
      <c r="F100" s="98"/>
      <c r="G100" s="187"/>
      <c r="H100" s="188"/>
      <c r="I100" s="188"/>
      <c r="J100" s="189"/>
      <c r="K100" s="99"/>
    </row>
    <row r="101" spans="2:22" s="78" customFormat="1" ht="14.25" customHeight="1" hidden="1">
      <c r="B101" s="97"/>
      <c r="C101" s="98"/>
      <c r="D101" s="98"/>
      <c r="E101" s="98"/>
      <c r="F101" s="98"/>
      <c r="G101" s="190"/>
      <c r="H101" s="191"/>
      <c r="I101" s="191"/>
      <c r="J101" s="192"/>
      <c r="K101" s="99"/>
      <c r="O101" s="51"/>
      <c r="V101" s="51"/>
    </row>
    <row r="102" spans="2:22" s="78" customFormat="1" ht="14.25" customHeight="1" hidden="1" thickBot="1">
      <c r="B102" s="97"/>
      <c r="C102" s="98"/>
      <c r="D102" s="98"/>
      <c r="E102" s="98"/>
      <c r="F102" s="98"/>
      <c r="G102" s="193"/>
      <c r="H102" s="194"/>
      <c r="I102" s="194"/>
      <c r="J102" s="195"/>
      <c r="K102" s="99"/>
      <c r="O102" s="51"/>
      <c r="T102" s="51"/>
      <c r="U102" s="51"/>
      <c r="V102" s="51"/>
    </row>
    <row r="103" spans="2:22" s="78" customFormat="1" ht="14.25" customHeight="1" hidden="1">
      <c r="B103" s="97"/>
      <c r="C103" s="98"/>
      <c r="D103" s="98"/>
      <c r="E103" s="98"/>
      <c r="F103" s="98"/>
      <c r="G103" s="98"/>
      <c r="H103" s="98"/>
      <c r="I103" s="98"/>
      <c r="J103" s="98"/>
      <c r="K103" s="99"/>
      <c r="O103" s="51"/>
      <c r="T103" s="51"/>
      <c r="U103" s="51"/>
      <c r="V103" s="51"/>
    </row>
    <row r="104" spans="1:23" s="78" customFormat="1" ht="14.25" customHeight="1" hidden="1" thickBot="1">
      <c r="A104" s="51"/>
      <c r="B104" s="100"/>
      <c r="C104" s="101"/>
      <c r="D104" s="101"/>
      <c r="E104" s="101"/>
      <c r="F104" s="101"/>
      <c r="G104" s="101"/>
      <c r="H104" s="101"/>
      <c r="I104" s="101"/>
      <c r="J104" s="101"/>
      <c r="K104" s="102"/>
      <c r="L104" s="51"/>
      <c r="M104" s="51"/>
      <c r="N104" s="51"/>
      <c r="O104" s="51"/>
      <c r="T104" s="51"/>
      <c r="U104" s="51"/>
      <c r="V104" s="51"/>
      <c r="W104" s="51"/>
    </row>
    <row r="105" spans="1:23" s="78" customFormat="1" ht="14.25" customHeight="1" hidden="1" thickTop="1">
      <c r="A105" s="51"/>
      <c r="B105" s="79"/>
      <c r="C105" s="79"/>
      <c r="D105" s="79"/>
      <c r="E105" s="79"/>
      <c r="F105" s="79"/>
      <c r="G105" s="79"/>
      <c r="H105" s="79"/>
      <c r="I105" s="79"/>
      <c r="J105" s="51"/>
      <c r="K105" s="51"/>
      <c r="L105" s="51"/>
      <c r="M105" s="51"/>
      <c r="N105" s="51"/>
      <c r="O105" s="51"/>
      <c r="T105" s="51"/>
      <c r="U105" s="51"/>
      <c r="V105" s="51"/>
      <c r="W105" s="51"/>
    </row>
    <row r="106" spans="1:23" s="78" customFormat="1" ht="14.25" customHeight="1" hidden="1">
      <c r="A106" s="51"/>
      <c r="B106" s="51"/>
      <c r="C106" s="51"/>
      <c r="D106" s="52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T106" s="51"/>
      <c r="U106" s="51"/>
      <c r="V106" s="51"/>
      <c r="W106" s="51"/>
    </row>
    <row r="107" spans="1:23" s="78" customFormat="1" ht="14.25" customHeight="1" hidden="1">
      <c r="A107" s="51"/>
      <c r="B107" s="51"/>
      <c r="C107" s="51"/>
      <c r="D107" s="54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S107" s="51"/>
      <c r="T107" s="51"/>
      <c r="U107" s="51"/>
      <c r="V107" s="51"/>
      <c r="W107" s="51"/>
    </row>
    <row r="108" spans="1:23" s="78" customFormat="1" ht="14.25" customHeight="1" hidden="1">
      <c r="A108" s="51"/>
      <c r="B108" s="51"/>
      <c r="C108" s="51"/>
      <c r="D108" s="54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s="78" customFormat="1" ht="14.25" customHeight="1" hidden="1">
      <c r="A109" s="51"/>
      <c r="B109" s="51"/>
      <c r="C109" s="51"/>
      <c r="D109" s="54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s="78" customFormat="1" ht="14.25" customHeight="1" hidden="1">
      <c r="A110" s="51"/>
      <c r="B110" s="51"/>
      <c r="C110" s="51"/>
      <c r="D110" s="142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1:24" s="78" customFormat="1" ht="14.25" customHeight="1" hidden="1">
      <c r="A111" s="51"/>
      <c r="B111" s="51"/>
      <c r="C111" s="51"/>
      <c r="D111" s="55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</row>
    <row r="112" ht="14.25" customHeight="1" hidden="1">
      <c r="D112" s="52"/>
    </row>
    <row r="113" ht="13.5" hidden="1">
      <c r="D113" s="52" t="s">
        <v>2</v>
      </c>
    </row>
    <row r="114" ht="13.5" hidden="1">
      <c r="D114" s="54" t="s">
        <v>0</v>
      </c>
    </row>
    <row r="115" ht="13.5" hidden="1">
      <c r="D115" s="54" t="s">
        <v>57</v>
      </c>
    </row>
    <row r="116" ht="13.5" hidden="1">
      <c r="D116" s="54" t="s">
        <v>58</v>
      </c>
    </row>
    <row r="117" ht="13.5" hidden="1">
      <c r="D117" s="54" t="s">
        <v>54</v>
      </c>
    </row>
    <row r="118" ht="13.5" hidden="1">
      <c r="D118" s="54" t="s">
        <v>59</v>
      </c>
    </row>
    <row r="119" ht="13.5" hidden="1">
      <c r="D119" s="54" t="s">
        <v>55</v>
      </c>
    </row>
    <row r="120" ht="13.5" hidden="1">
      <c r="D120" s="54" t="s">
        <v>60</v>
      </c>
    </row>
    <row r="121" ht="13.5" hidden="1">
      <c r="D121" s="54" t="s">
        <v>61</v>
      </c>
    </row>
    <row r="122" ht="13.5" hidden="1">
      <c r="D122" s="54" t="s">
        <v>62</v>
      </c>
    </row>
    <row r="123" ht="13.5" hidden="1">
      <c r="D123" s="52"/>
    </row>
    <row r="124" ht="13.5" hidden="1">
      <c r="D124" s="54" t="s">
        <v>4</v>
      </c>
    </row>
    <row r="125" ht="13.5" hidden="1">
      <c r="D125" s="54" t="s">
        <v>10</v>
      </c>
    </row>
    <row r="126" ht="13.5" hidden="1">
      <c r="D126" s="54" t="s">
        <v>11</v>
      </c>
    </row>
    <row r="127" ht="14.25" thickTop="1"/>
  </sheetData>
  <sheetProtection password="D316" sheet="1" objects="1" scenarios="1"/>
  <mergeCells count="40">
    <mergeCell ref="C90:D90"/>
    <mergeCell ref="C91:D92"/>
    <mergeCell ref="C94:D94"/>
    <mergeCell ref="H95:H96"/>
    <mergeCell ref="E19:F20"/>
    <mergeCell ref="D28:D29"/>
    <mergeCell ref="H91:H92"/>
    <mergeCell ref="C59:D59"/>
    <mergeCell ref="E37:G38"/>
    <mergeCell ref="E91:E92"/>
    <mergeCell ref="B15:K15"/>
    <mergeCell ref="E78:G79"/>
    <mergeCell ref="C60:D63"/>
    <mergeCell ref="D19:D20"/>
    <mergeCell ref="P58:Q58"/>
    <mergeCell ref="D35:D36"/>
    <mergeCell ref="D37:D38"/>
    <mergeCell ref="E35:G36"/>
    <mergeCell ref="B51:D52"/>
    <mergeCell ref="C68:D69"/>
    <mergeCell ref="C17:J17"/>
    <mergeCell ref="G99:J99"/>
    <mergeCell ref="I90:J90"/>
    <mergeCell ref="I91:J92"/>
    <mergeCell ref="I94:J94"/>
    <mergeCell ref="C95:D96"/>
    <mergeCell ref="C78:D79"/>
    <mergeCell ref="E34:G34"/>
    <mergeCell ref="E28:F29"/>
    <mergeCell ref="I95:J96"/>
    <mergeCell ref="D44:J45"/>
    <mergeCell ref="E95:E96"/>
    <mergeCell ref="B9:D11"/>
    <mergeCell ref="G100:J102"/>
    <mergeCell ref="C26:K26"/>
    <mergeCell ref="E68:G69"/>
    <mergeCell ref="C73:D74"/>
    <mergeCell ref="E73:G74"/>
    <mergeCell ref="E10:J10"/>
    <mergeCell ref="E11:J11"/>
  </mergeCells>
  <conditionalFormatting sqref="E35 E37">
    <cfRule type="cellIs" priority="4" dxfId="7" operator="equal" stopIfTrue="1">
      <formula>0</formula>
    </cfRule>
  </conditionalFormatting>
  <conditionalFormatting sqref="C95:D96 I95:J96 G100:J102">
    <cfRule type="expression" priority="5" dxfId="7" stopIfTrue="1">
      <formula>ISERROR(C95)</formula>
    </cfRule>
  </conditionalFormatting>
  <conditionalFormatting sqref="C91:D92">
    <cfRule type="expression" priority="8" dxfId="7" stopIfTrue="1">
      <formula>$C$91=FALSE</formula>
    </cfRule>
  </conditionalFormatting>
  <conditionalFormatting sqref="I91:J92">
    <cfRule type="expression" priority="2" dxfId="7" stopIfTrue="1">
      <formula>ISERROR(I91)</formula>
    </cfRule>
  </conditionalFormatting>
  <conditionalFormatting sqref="E68">
    <cfRule type="expression" priority="12" dxfId="7" stopIfTrue="1">
      <formula>$E$68=FALSE</formula>
    </cfRule>
  </conditionalFormatting>
  <conditionalFormatting sqref="E73 E78">
    <cfRule type="expression" priority="14" dxfId="7" stopIfTrue="1">
      <formula>$E$73=FALSE</formula>
    </cfRule>
  </conditionalFormatting>
  <conditionalFormatting sqref="F91:G92 F95:G96">
    <cfRule type="expression" priority="17" dxfId="7" stopIfTrue="1">
      <formula>$F$91=FALSE</formula>
    </cfRule>
  </conditionalFormatting>
  <dataValidations count="2">
    <dataValidation type="list" allowBlank="1" showInputMessage="1" showErrorMessage="1" promptTitle="選択方法" prompt="青色の欄の右端にある▼をクリックし、お選びください。" errorTitle="入力エラー" error="この入力は、無効です。選択方法を確認の上、再度入力お願いします。" sqref="E19:F20">
      <formula1>$D$115:$D$123</formula1>
    </dataValidation>
    <dataValidation type="list" showInputMessage="1" showErrorMessage="1" promptTitle="選択方法" prompt="青色の欄の右端にある▼をクリックし、お選びください。" errorTitle="入力エラー" error="この入力は、無効です。選択方法を確認の上、再度入力お願いします。" sqref="E28:F29">
      <formula1>$D$125:$D$127</formula1>
    </dataValidation>
  </dataValidations>
  <printOptions/>
  <pageMargins left="0.75" right="0.75" top="1" bottom="1" header="0.512" footer="0.512"/>
  <pageSetup horizontalDpi="600" verticalDpi="600" orientation="portrait" paperSize="9" scale="81" r:id="rId4"/>
  <rowBreaks count="1" manualBreakCount="1">
    <brk id="48" max="255" man="1"/>
  </rowBreaks>
  <colBreaks count="1" manualBreakCount="1">
    <brk id="22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9"/>
  </sheetPr>
  <dimension ref="A1:E18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19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2457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27</v>
      </c>
      <c r="B11" s="14">
        <f>IF(A6&gt;10,10,A6)</f>
        <v>10</v>
      </c>
      <c r="C11" s="15">
        <v>1470</v>
      </c>
      <c r="D11" s="16">
        <f>C11</f>
        <v>1470</v>
      </c>
    </row>
    <row r="12" spans="1:4" s="12" customFormat="1" ht="19.5" customHeight="1">
      <c r="A12" s="17" t="s">
        <v>28</v>
      </c>
      <c r="B12" s="18">
        <f>IF($A$6&gt;20,10,IF($A$6&lt;11,0,$A$6-10))</f>
        <v>10</v>
      </c>
      <c r="C12" s="19">
        <v>29.4</v>
      </c>
      <c r="D12" s="20">
        <f aca="true" t="shared" si="0" ref="D12:D17">B12*C12</f>
        <v>294</v>
      </c>
    </row>
    <row r="13" spans="1:4" s="12" customFormat="1" ht="19.5" customHeight="1">
      <c r="A13" s="17" t="s">
        <v>29</v>
      </c>
      <c r="B13" s="18">
        <f>IF($A$6&gt;40,20,IF($A$6&lt;21,0,$A$6-20))</f>
        <v>5</v>
      </c>
      <c r="C13" s="19">
        <v>138.6</v>
      </c>
      <c r="D13" s="20">
        <f t="shared" si="0"/>
        <v>693</v>
      </c>
    </row>
    <row r="14" spans="1:4" s="12" customFormat="1" ht="19.5" customHeight="1">
      <c r="A14" s="17" t="s">
        <v>30</v>
      </c>
      <c r="B14" s="18">
        <f>IF($A$6&gt;100,60,IF($A$6&lt;41,0,$A$6-40))</f>
        <v>0</v>
      </c>
      <c r="C14" s="19">
        <v>156.45</v>
      </c>
      <c r="D14" s="20">
        <f t="shared" si="0"/>
        <v>0</v>
      </c>
    </row>
    <row r="15" spans="1:4" s="12" customFormat="1" ht="19.5" customHeight="1">
      <c r="A15" s="17" t="s">
        <v>31</v>
      </c>
      <c r="B15" s="18">
        <f>IF($A$6&gt;200,100,IF($A$6&lt;101,0,$A$6-100))</f>
        <v>0</v>
      </c>
      <c r="C15" s="19">
        <v>165.9</v>
      </c>
      <c r="D15" s="20">
        <f t="shared" si="0"/>
        <v>0</v>
      </c>
    </row>
    <row r="16" spans="1:4" s="12" customFormat="1" ht="19.5" customHeight="1">
      <c r="A16" s="17" t="s">
        <v>32</v>
      </c>
      <c r="B16" s="18">
        <f>IF($A$6&gt;400,200,IF($A$6&lt;201,0,$A$6-200))</f>
        <v>0</v>
      </c>
      <c r="C16" s="19">
        <v>177.45</v>
      </c>
      <c r="D16" s="20">
        <f t="shared" si="0"/>
        <v>0</v>
      </c>
    </row>
    <row r="17" spans="1:4" s="12" customFormat="1" ht="19.5" customHeight="1" thickBot="1">
      <c r="A17" s="21" t="s">
        <v>33</v>
      </c>
      <c r="B17" s="22">
        <f>IF($A$6&gt;400,$A$6-400,0)</f>
        <v>0</v>
      </c>
      <c r="C17" s="23">
        <v>189</v>
      </c>
      <c r="D17" s="24">
        <f t="shared" si="0"/>
        <v>0</v>
      </c>
    </row>
    <row r="18" spans="1:4" ht="18" thickBot="1">
      <c r="A18" s="25" t="s">
        <v>34</v>
      </c>
      <c r="B18" s="26">
        <f>SUM(B11:B17)</f>
        <v>25</v>
      </c>
      <c r="C18" s="27" t="s">
        <v>35</v>
      </c>
      <c r="D18" s="28">
        <f>SUM(D11:D17)</f>
        <v>2457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9"/>
  </sheetPr>
  <dimension ref="A1:E18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36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2593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27</v>
      </c>
      <c r="B11" s="14">
        <f>IF(A6&gt;10,10,A6)</f>
        <v>10</v>
      </c>
      <c r="C11" s="15">
        <v>1606.5</v>
      </c>
      <c r="D11" s="16">
        <f>C11</f>
        <v>1606.5</v>
      </c>
    </row>
    <row r="12" spans="1:4" s="12" customFormat="1" ht="19.5" customHeight="1">
      <c r="A12" s="17" t="s">
        <v>28</v>
      </c>
      <c r="B12" s="18">
        <f>IF($A$6&gt;20,10,IF($A$6&lt;11,0,$A$6-10))</f>
        <v>10</v>
      </c>
      <c r="C12" s="19">
        <v>29.4</v>
      </c>
      <c r="D12" s="20">
        <f aca="true" t="shared" si="0" ref="D12:D17">B12*C12</f>
        <v>294</v>
      </c>
    </row>
    <row r="13" spans="1:4" s="12" customFormat="1" ht="19.5" customHeight="1">
      <c r="A13" s="17" t="s">
        <v>29</v>
      </c>
      <c r="B13" s="18">
        <f>IF($A$6&gt;40,20,IF($A$6&lt;21,0,$A$6-20))</f>
        <v>5</v>
      </c>
      <c r="C13" s="19">
        <v>138.6</v>
      </c>
      <c r="D13" s="20">
        <f t="shared" si="0"/>
        <v>693</v>
      </c>
    </row>
    <row r="14" spans="1:4" s="12" customFormat="1" ht="19.5" customHeight="1">
      <c r="A14" s="17" t="s">
        <v>30</v>
      </c>
      <c r="B14" s="18">
        <f>IF($A$6&gt;100,60,IF($A$6&lt;41,0,$A$6-40))</f>
        <v>0</v>
      </c>
      <c r="C14" s="19">
        <v>156.45</v>
      </c>
      <c r="D14" s="20">
        <f t="shared" si="0"/>
        <v>0</v>
      </c>
    </row>
    <row r="15" spans="1:4" s="12" customFormat="1" ht="19.5" customHeight="1">
      <c r="A15" s="17" t="s">
        <v>31</v>
      </c>
      <c r="B15" s="18">
        <f>IF($A$6&gt;200,100,IF($A$6&lt;101,0,$A$6-100))</f>
        <v>0</v>
      </c>
      <c r="C15" s="19">
        <v>165.9</v>
      </c>
      <c r="D15" s="20">
        <f t="shared" si="0"/>
        <v>0</v>
      </c>
    </row>
    <row r="16" spans="1:4" s="12" customFormat="1" ht="19.5" customHeight="1">
      <c r="A16" s="17" t="s">
        <v>32</v>
      </c>
      <c r="B16" s="18">
        <f>IF($A$6&gt;400,200,IF($A$6&lt;201,0,$A$6-200))</f>
        <v>0</v>
      </c>
      <c r="C16" s="19">
        <v>177.45</v>
      </c>
      <c r="D16" s="20">
        <f t="shared" si="0"/>
        <v>0</v>
      </c>
    </row>
    <row r="17" spans="1:4" s="12" customFormat="1" ht="19.5" customHeight="1" thickBot="1">
      <c r="A17" s="21" t="s">
        <v>33</v>
      </c>
      <c r="B17" s="22">
        <f>IF($A$6&gt;400,$A$6-400,0)</f>
        <v>0</v>
      </c>
      <c r="C17" s="23">
        <v>189</v>
      </c>
      <c r="D17" s="24">
        <f t="shared" si="0"/>
        <v>0</v>
      </c>
    </row>
    <row r="18" spans="1:4" ht="18" thickBot="1">
      <c r="A18" s="25" t="s">
        <v>34</v>
      </c>
      <c r="B18" s="26">
        <f>SUM(B11:B17)</f>
        <v>25</v>
      </c>
      <c r="C18" s="27" t="s">
        <v>35</v>
      </c>
      <c r="D18" s="28">
        <f>SUM(D11:D17)</f>
        <v>2593.5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38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4777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4084.5</v>
      </c>
      <c r="D11" s="16">
        <f>C11</f>
        <v>4084.5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9">
        <v>138.6</v>
      </c>
      <c r="D12" s="20">
        <f>B12*C12</f>
        <v>693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35</v>
      </c>
      <c r="D17" s="28">
        <f>SUM(D11:D16)</f>
        <v>4777.5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45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6699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6006</v>
      </c>
      <c r="D11" s="16">
        <f>C11</f>
        <v>6006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9">
        <v>138.6</v>
      </c>
      <c r="D12" s="20">
        <f>B12*C12</f>
        <v>693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35</v>
      </c>
      <c r="D17" s="28">
        <f>SUM(D11:D16)</f>
        <v>6699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46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11933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11240.24</v>
      </c>
      <c r="D11" s="16">
        <f>C11</f>
        <v>11240.24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9">
        <v>138.6</v>
      </c>
      <c r="D12" s="20">
        <f>B12*C12</f>
        <v>693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35</v>
      </c>
      <c r="D17" s="28">
        <f>SUM(D11:D16)</f>
        <v>11933.24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47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18280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17587.5</v>
      </c>
      <c r="D11" s="16">
        <f>C11</f>
        <v>17587.5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9">
        <v>138.6</v>
      </c>
      <c r="D12" s="20">
        <f>B12*C12</f>
        <v>693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35</v>
      </c>
      <c r="D17" s="28">
        <f>SUM(D11:D16)</f>
        <v>18280.5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48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39228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38535</v>
      </c>
      <c r="D11" s="16">
        <f>C11</f>
        <v>38535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9">
        <v>138.6</v>
      </c>
      <c r="D12" s="20">
        <f>B12*C12</f>
        <v>693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35</v>
      </c>
      <c r="D17" s="28">
        <f>SUM(D11:D16)</f>
        <v>39228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49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62181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61488</v>
      </c>
      <c r="D11" s="16">
        <f>C11</f>
        <v>61488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9">
        <v>138.6</v>
      </c>
      <c r="D12" s="20">
        <f>B12*C12</f>
        <v>693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35</v>
      </c>
      <c r="D17" s="28">
        <f>SUM(D11:D16)</f>
        <v>62181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">
    <tabColor indexed="10"/>
  </sheetPr>
  <dimension ref="A1:K20"/>
  <sheetViews>
    <sheetView zoomScale="90" zoomScaleNormal="90" zoomScalePageLayoutView="0" workbookViewId="0" topLeftCell="B1">
      <selection activeCell="M23" sqref="L23:M24"/>
    </sheetView>
  </sheetViews>
  <sheetFormatPr defaultColWidth="9.00390625" defaultRowHeight="18" customHeight="1"/>
  <cols>
    <col min="1" max="1" width="9.00390625" style="31" customWidth="1"/>
    <col min="2" max="2" width="26.375" style="31" bestFit="1" customWidth="1"/>
    <col min="3" max="3" width="16.75390625" style="31" bestFit="1" customWidth="1"/>
    <col min="4" max="4" width="11.50390625" style="31" bestFit="1" customWidth="1"/>
    <col min="5" max="5" width="24.00390625" style="31" bestFit="1" customWidth="1"/>
    <col min="6" max="6" width="9.00390625" style="32" customWidth="1"/>
    <col min="7" max="7" width="26.375" style="32" bestFit="1" customWidth="1"/>
    <col min="8" max="8" width="16.75390625" style="32" bestFit="1" customWidth="1"/>
    <col min="9" max="9" width="11.50390625" style="32" bestFit="1" customWidth="1"/>
    <col min="10" max="10" width="24.00390625" style="32" bestFit="1" customWidth="1"/>
    <col min="11" max="16384" width="9.00390625" style="32" customWidth="1"/>
  </cols>
  <sheetData>
    <row r="1" spans="1:5" ht="18" customHeight="1">
      <c r="A1" s="34"/>
      <c r="B1" s="32"/>
      <c r="C1" s="32"/>
      <c r="D1" s="32"/>
      <c r="E1" s="32"/>
    </row>
    <row r="2" spans="1:8" ht="18" customHeight="1" thickBot="1">
      <c r="A2" s="34"/>
      <c r="B2" s="112" t="s">
        <v>91</v>
      </c>
      <c r="C2" s="32"/>
      <c r="D2" s="32"/>
      <c r="E2" s="32"/>
      <c r="G2" s="254" t="s">
        <v>92</v>
      </c>
      <c r="H2" s="254"/>
    </row>
    <row r="3" spans="2:11" ht="18" customHeight="1" thickBot="1">
      <c r="B3" s="1" t="s">
        <v>21</v>
      </c>
      <c r="C3" s="1"/>
      <c r="D3" s="29"/>
      <c r="E3" s="30" t="s">
        <v>22</v>
      </c>
      <c r="G3" s="1" t="s">
        <v>21</v>
      </c>
      <c r="H3" s="1"/>
      <c r="I3" s="29"/>
      <c r="J3" s="30" t="s">
        <v>22</v>
      </c>
      <c r="K3" s="30"/>
    </row>
    <row r="4" spans="1:11" ht="18" customHeight="1" thickBot="1">
      <c r="A4" s="33"/>
      <c r="B4" s="1"/>
      <c r="C4" s="1"/>
      <c r="D4" s="1"/>
      <c r="E4" s="1"/>
      <c r="G4" s="1"/>
      <c r="H4" s="1"/>
      <c r="I4" s="1"/>
      <c r="J4" s="1"/>
      <c r="K4" s="1"/>
    </row>
    <row r="5" spans="2:11" ht="18" customHeight="1" thickBot="1">
      <c r="B5" s="4" t="s">
        <v>14</v>
      </c>
      <c r="C5" s="5" t="s">
        <v>89</v>
      </c>
      <c r="D5" s="6"/>
      <c r="E5" s="6"/>
      <c r="G5" s="4" t="s">
        <v>14</v>
      </c>
      <c r="H5" s="5" t="s">
        <v>89</v>
      </c>
      <c r="I5" s="6"/>
      <c r="J5" s="6"/>
      <c r="K5" s="6"/>
    </row>
    <row r="6" spans="2:11" ht="18" customHeight="1" thickBot="1">
      <c r="B6" s="7">
        <f>'入力表'!C60</f>
        <v>25</v>
      </c>
      <c r="C6" s="8">
        <f>ROUNDDOWN(E20,0)</f>
        <v>1837</v>
      </c>
      <c r="D6" s="6"/>
      <c r="E6" s="6"/>
      <c r="G6" s="7">
        <f>'入力表'!C60</f>
        <v>25</v>
      </c>
      <c r="H6" s="8">
        <f>ROUNDDOWN(J20,0)</f>
        <v>2322</v>
      </c>
      <c r="I6" s="6"/>
      <c r="J6" s="6"/>
      <c r="K6" s="6"/>
    </row>
    <row r="7" spans="2:11" ht="18" customHeight="1">
      <c r="B7" s="1"/>
      <c r="C7" s="1"/>
      <c r="D7" s="1"/>
      <c r="E7" s="1"/>
      <c r="G7" s="1"/>
      <c r="H7" s="1"/>
      <c r="I7" s="1"/>
      <c r="J7" s="1"/>
      <c r="K7" s="1"/>
    </row>
    <row r="8" spans="2:11" ht="18" customHeight="1">
      <c r="B8" s="1" t="s">
        <v>23</v>
      </c>
      <c r="C8" s="1"/>
      <c r="D8" s="1"/>
      <c r="E8" s="1"/>
      <c r="G8" s="1" t="s">
        <v>23</v>
      </c>
      <c r="H8" s="1"/>
      <c r="I8" s="1"/>
      <c r="J8" s="1"/>
      <c r="K8" s="1"/>
    </row>
    <row r="9" spans="2:11" ht="18" customHeight="1" thickBot="1">
      <c r="B9" s="1"/>
      <c r="C9" s="1"/>
      <c r="D9" s="1"/>
      <c r="E9" s="1"/>
      <c r="G9" s="1"/>
      <c r="H9" s="1"/>
      <c r="I9" s="1"/>
      <c r="J9" s="1"/>
      <c r="K9" s="1"/>
    </row>
    <row r="10" spans="2:11" ht="18" customHeight="1" thickBot="1">
      <c r="B10" s="9" t="s">
        <v>24</v>
      </c>
      <c r="C10" s="10" t="s">
        <v>25</v>
      </c>
      <c r="D10" s="10" t="s">
        <v>26</v>
      </c>
      <c r="E10" s="11" t="s">
        <v>13</v>
      </c>
      <c r="G10" s="9" t="s">
        <v>24</v>
      </c>
      <c r="H10" s="10" t="s">
        <v>25</v>
      </c>
      <c r="I10" s="10" t="s">
        <v>26</v>
      </c>
      <c r="J10" s="11" t="s">
        <v>13</v>
      </c>
      <c r="K10" s="12"/>
    </row>
    <row r="11" spans="2:11" ht="18" customHeight="1">
      <c r="B11" s="13" t="s">
        <v>75</v>
      </c>
      <c r="C11" s="14">
        <f>IF(B6&gt;20,20,B6)</f>
        <v>20</v>
      </c>
      <c r="D11" s="15">
        <v>1680</v>
      </c>
      <c r="E11" s="16">
        <f>D11</f>
        <v>1680</v>
      </c>
      <c r="G11" s="13" t="s">
        <v>100</v>
      </c>
      <c r="H11" s="14">
        <f>IF(G6&gt;20,20,G6)</f>
        <v>20</v>
      </c>
      <c r="I11" s="15">
        <v>1728</v>
      </c>
      <c r="J11" s="16">
        <f>I11</f>
        <v>1728</v>
      </c>
      <c r="K11" s="12"/>
    </row>
    <row r="12" spans="2:11" ht="18" customHeight="1">
      <c r="B12" s="13"/>
      <c r="C12" s="14"/>
      <c r="D12" s="15"/>
      <c r="E12" s="16"/>
      <c r="G12" s="13" t="s">
        <v>101</v>
      </c>
      <c r="H12" s="14">
        <f>IF(G6&gt;10,10,G6)</f>
        <v>10</v>
      </c>
      <c r="I12" s="15">
        <v>43.2</v>
      </c>
      <c r="J12" s="16">
        <f>H12*I12</f>
        <v>432</v>
      </c>
      <c r="K12" s="12"/>
    </row>
    <row r="13" spans="2:11" ht="18" customHeight="1">
      <c r="B13" s="17" t="s">
        <v>29</v>
      </c>
      <c r="C13" s="18">
        <f>IF($B$6&gt;40,20,IF($B$6&lt;21,0,$B$6-20))</f>
        <v>5</v>
      </c>
      <c r="D13" s="19">
        <v>31.5</v>
      </c>
      <c r="E13" s="20">
        <f aca="true" t="shared" si="0" ref="E13:E19">C13*D13</f>
        <v>157.5</v>
      </c>
      <c r="G13" s="17" t="s">
        <v>102</v>
      </c>
      <c r="H13" s="18">
        <f>IF($G$6&gt;40,20,IF($G$6&lt;21,0,$G$6-20))</f>
        <v>5</v>
      </c>
      <c r="I13" s="19">
        <v>32.4</v>
      </c>
      <c r="J13" s="20">
        <f aca="true" t="shared" si="1" ref="J13:J19">H13*I13</f>
        <v>162</v>
      </c>
      <c r="K13" s="12"/>
    </row>
    <row r="14" spans="2:11" ht="18" customHeight="1">
      <c r="B14" s="17" t="s">
        <v>76</v>
      </c>
      <c r="C14" s="18">
        <f>IF($B$6&gt;60,20,IF($B$6&lt;41,0,$B$6-40))</f>
        <v>0</v>
      </c>
      <c r="D14" s="19">
        <v>115.5</v>
      </c>
      <c r="E14" s="20">
        <f t="shared" si="0"/>
        <v>0</v>
      </c>
      <c r="G14" s="17" t="s">
        <v>103</v>
      </c>
      <c r="H14" s="18">
        <f>IF($G$6&gt;60,20,IF($G$6&lt;41,0,$G$6-40))</f>
        <v>0</v>
      </c>
      <c r="I14" s="19">
        <v>118.8</v>
      </c>
      <c r="J14" s="20">
        <f t="shared" si="1"/>
        <v>0</v>
      </c>
      <c r="K14" s="12"/>
    </row>
    <row r="15" spans="2:11" ht="18" customHeight="1">
      <c r="B15" s="17" t="s">
        <v>77</v>
      </c>
      <c r="C15" s="18">
        <f>IF($B$6&gt;100,40,IF($B$6&lt;61,0,$B$6-60))</f>
        <v>0</v>
      </c>
      <c r="D15" s="19">
        <v>126</v>
      </c>
      <c r="E15" s="20">
        <f t="shared" si="0"/>
        <v>0</v>
      </c>
      <c r="G15" s="17" t="s">
        <v>104</v>
      </c>
      <c r="H15" s="18">
        <f>IF($G$6&gt;100,40,IF($G$6&lt;61,0,$G$6-60))</f>
        <v>0</v>
      </c>
      <c r="I15" s="19">
        <v>129.6</v>
      </c>
      <c r="J15" s="20">
        <f t="shared" si="1"/>
        <v>0</v>
      </c>
      <c r="K15" s="12"/>
    </row>
    <row r="16" spans="2:11" ht="18" customHeight="1">
      <c r="B16" s="17" t="s">
        <v>31</v>
      </c>
      <c r="C16" s="18">
        <f>IF($B$6&gt;200,100,IF($B$6&lt;101,0,$B$6-100))</f>
        <v>0</v>
      </c>
      <c r="D16" s="19">
        <v>136.5</v>
      </c>
      <c r="E16" s="20">
        <f t="shared" si="0"/>
        <v>0</v>
      </c>
      <c r="G16" s="17" t="s">
        <v>31</v>
      </c>
      <c r="H16" s="18">
        <f>IF($G$6&gt;200,100,IF($G$6&lt;101,0,$G$6-100))</f>
        <v>0</v>
      </c>
      <c r="I16" s="19">
        <v>140.4</v>
      </c>
      <c r="J16" s="20">
        <f t="shared" si="1"/>
        <v>0</v>
      </c>
      <c r="K16" s="12"/>
    </row>
    <row r="17" spans="2:11" ht="18" customHeight="1">
      <c r="B17" s="17" t="s">
        <v>78</v>
      </c>
      <c r="C17" s="18">
        <f>IF($B$6&gt;500,300,IF($B$6&lt;201,0,$B$6-200))</f>
        <v>0</v>
      </c>
      <c r="D17" s="19">
        <v>147</v>
      </c>
      <c r="E17" s="20">
        <f t="shared" si="0"/>
        <v>0</v>
      </c>
      <c r="G17" s="17" t="s">
        <v>78</v>
      </c>
      <c r="H17" s="18">
        <f>IF($G$6&gt;500,300,IF($G$6&lt;201,0,$G$6-200))</f>
        <v>0</v>
      </c>
      <c r="I17" s="19">
        <v>151.2</v>
      </c>
      <c r="J17" s="20">
        <f t="shared" si="1"/>
        <v>0</v>
      </c>
      <c r="K17" s="12"/>
    </row>
    <row r="18" spans="2:11" ht="18" customHeight="1">
      <c r="B18" s="17" t="s">
        <v>79</v>
      </c>
      <c r="C18" s="18">
        <f>IF($B$6&gt;1000,500,IF($B$6&lt;501,0,$B$6-500))</f>
        <v>0</v>
      </c>
      <c r="D18" s="19">
        <v>157.5</v>
      </c>
      <c r="E18" s="20">
        <f t="shared" si="0"/>
        <v>0</v>
      </c>
      <c r="G18" s="17" t="s">
        <v>79</v>
      </c>
      <c r="H18" s="18">
        <f>IF($G$6&gt;1000,500,IF($G$6&lt;501,0,$G$6-500))</f>
        <v>0</v>
      </c>
      <c r="I18" s="19">
        <v>162</v>
      </c>
      <c r="J18" s="20">
        <f>H18*I18</f>
        <v>0</v>
      </c>
      <c r="K18" s="12"/>
    </row>
    <row r="19" spans="2:11" ht="18" customHeight="1" thickBot="1">
      <c r="B19" s="21" t="s">
        <v>80</v>
      </c>
      <c r="C19" s="22">
        <f>IF($B$6&gt;1000,$B$6-1000,0)</f>
        <v>0</v>
      </c>
      <c r="D19" s="23">
        <v>168</v>
      </c>
      <c r="E19" s="24">
        <f t="shared" si="0"/>
        <v>0</v>
      </c>
      <c r="G19" s="21" t="s">
        <v>80</v>
      </c>
      <c r="H19" s="22">
        <f>IF($G$6&gt;1000,$G$6-1000,0)</f>
        <v>0</v>
      </c>
      <c r="I19" s="23">
        <v>172.8</v>
      </c>
      <c r="J19" s="24">
        <f t="shared" si="1"/>
        <v>0</v>
      </c>
      <c r="K19" s="12"/>
    </row>
    <row r="20" spans="2:11" ht="18" customHeight="1" thickBot="1">
      <c r="B20" s="25" t="s">
        <v>34</v>
      </c>
      <c r="C20" s="26">
        <f>SUM(C11:C19)</f>
        <v>25</v>
      </c>
      <c r="D20" s="27" t="s">
        <v>35</v>
      </c>
      <c r="E20" s="28">
        <f>SUM(E11:E19)</f>
        <v>1837.5</v>
      </c>
      <c r="G20" s="25" t="s">
        <v>34</v>
      </c>
      <c r="H20" s="26">
        <f>SUM(H11:H19)</f>
        <v>35</v>
      </c>
      <c r="I20" s="27" t="s">
        <v>35</v>
      </c>
      <c r="J20" s="28">
        <f>SUM(J11:J19)</f>
        <v>2322</v>
      </c>
      <c r="K20" s="1"/>
    </row>
  </sheetData>
  <sheetProtection/>
  <mergeCells count="1"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2">
    <tabColor indexed="10"/>
  </sheetPr>
  <dimension ref="B2:J18"/>
  <sheetViews>
    <sheetView zoomScalePageLayoutView="0" workbookViewId="0" topLeftCell="A1">
      <selection activeCell="J8" sqref="J8"/>
    </sheetView>
  </sheetViews>
  <sheetFormatPr defaultColWidth="9.00390625" defaultRowHeight="18" customHeight="1"/>
  <cols>
    <col min="2" max="2" width="26.375" style="0" bestFit="1" customWidth="1"/>
    <col min="3" max="3" width="16.75390625" style="0" bestFit="1" customWidth="1"/>
    <col min="4" max="4" width="11.50390625" style="0" bestFit="1" customWidth="1"/>
    <col min="5" max="5" width="24.00390625" style="0" bestFit="1" customWidth="1"/>
    <col min="7" max="7" width="26.375" style="0" bestFit="1" customWidth="1"/>
    <col min="8" max="8" width="16.75390625" style="0" bestFit="1" customWidth="1"/>
    <col min="9" max="9" width="11.50390625" style="0" bestFit="1" customWidth="1"/>
    <col min="10" max="10" width="24.00390625" style="0" bestFit="1" customWidth="1"/>
  </cols>
  <sheetData>
    <row r="2" spans="2:8" ht="18" customHeight="1" thickBot="1">
      <c r="B2" s="112" t="s">
        <v>91</v>
      </c>
      <c r="G2" s="254" t="s">
        <v>92</v>
      </c>
      <c r="H2" s="254"/>
    </row>
    <row r="3" spans="2:10" ht="18" customHeight="1" thickBot="1">
      <c r="B3" s="1" t="s">
        <v>21</v>
      </c>
      <c r="C3" s="1"/>
      <c r="D3" s="29"/>
      <c r="E3" s="30" t="s">
        <v>22</v>
      </c>
      <c r="G3" s="1" t="s">
        <v>21</v>
      </c>
      <c r="H3" s="1"/>
      <c r="I3" s="29"/>
      <c r="J3" s="30" t="s">
        <v>22</v>
      </c>
    </row>
    <row r="4" spans="2:10" ht="18" customHeight="1" thickBot="1">
      <c r="B4" s="1"/>
      <c r="C4" s="1"/>
      <c r="D4" s="1"/>
      <c r="E4" s="1"/>
      <c r="G4" s="1"/>
      <c r="H4" s="1"/>
      <c r="I4" s="1"/>
      <c r="J4" s="1"/>
    </row>
    <row r="5" spans="2:10" ht="18" customHeight="1" thickBot="1">
      <c r="B5" s="4" t="s">
        <v>14</v>
      </c>
      <c r="C5" s="5" t="s">
        <v>90</v>
      </c>
      <c r="D5" s="6"/>
      <c r="E5" s="6"/>
      <c r="G5" s="4" t="s">
        <v>14</v>
      </c>
      <c r="H5" s="5" t="s">
        <v>90</v>
      </c>
      <c r="I5" s="6"/>
      <c r="J5" s="6"/>
    </row>
    <row r="6" spans="2:10" ht="18" customHeight="1" thickBot="1">
      <c r="B6" s="7">
        <f>'入力表'!C60</f>
        <v>25</v>
      </c>
      <c r="C6" s="8">
        <f>ROUNDDOWN(E18,0)</f>
        <v>2625</v>
      </c>
      <c r="D6" s="6"/>
      <c r="E6" s="6"/>
      <c r="G6" s="7">
        <f>'入力表'!C60</f>
        <v>25</v>
      </c>
      <c r="H6" s="8">
        <f>ROUNDDOWN(J18,0)</f>
        <v>2700</v>
      </c>
      <c r="I6" s="6"/>
      <c r="J6" s="6"/>
    </row>
    <row r="7" spans="2:10" ht="18" customHeight="1">
      <c r="B7" s="1"/>
      <c r="C7" s="1"/>
      <c r="D7" s="1"/>
      <c r="E7" s="1"/>
      <c r="G7" s="1"/>
      <c r="H7" s="1"/>
      <c r="I7" s="1"/>
      <c r="J7" s="1"/>
    </row>
    <row r="8" spans="2:10" ht="18" customHeight="1">
      <c r="B8" s="1" t="s">
        <v>23</v>
      </c>
      <c r="C8" s="1"/>
      <c r="D8" s="1"/>
      <c r="E8" s="1"/>
      <c r="G8" s="1" t="s">
        <v>23</v>
      </c>
      <c r="H8" s="1"/>
      <c r="I8" s="1"/>
      <c r="J8" s="1"/>
    </row>
    <row r="9" spans="2:10" ht="18" customHeight="1" thickBot="1">
      <c r="B9" s="1"/>
      <c r="C9" s="1"/>
      <c r="D9" s="1"/>
      <c r="E9" s="1"/>
      <c r="G9" s="1"/>
      <c r="H9" s="1"/>
      <c r="I9" s="1"/>
      <c r="J9" s="1"/>
    </row>
    <row r="10" spans="2:10" ht="18" customHeight="1" thickBot="1">
      <c r="B10" s="9" t="s">
        <v>24</v>
      </c>
      <c r="C10" s="10" t="s">
        <v>25</v>
      </c>
      <c r="D10" s="10" t="s">
        <v>26</v>
      </c>
      <c r="E10" s="11" t="s">
        <v>13</v>
      </c>
      <c r="G10" s="9" t="s">
        <v>24</v>
      </c>
      <c r="H10" s="10" t="s">
        <v>25</v>
      </c>
      <c r="I10" s="10" t="s">
        <v>26</v>
      </c>
      <c r="J10" s="11" t="s">
        <v>13</v>
      </c>
    </row>
    <row r="11" spans="2:10" ht="18" customHeight="1">
      <c r="B11" s="13" t="s">
        <v>75</v>
      </c>
      <c r="C11" s="14">
        <f>IF(B6&gt;20,20,B6)</f>
        <v>20</v>
      </c>
      <c r="D11" s="15">
        <v>2100</v>
      </c>
      <c r="E11" s="16">
        <f>D11</f>
        <v>2100</v>
      </c>
      <c r="G11" s="13" t="s">
        <v>75</v>
      </c>
      <c r="H11" s="14">
        <f>IF(G6&gt;20,20,G6)</f>
        <v>20</v>
      </c>
      <c r="I11" s="15">
        <v>2160</v>
      </c>
      <c r="J11" s="16">
        <f>I11</f>
        <v>2160</v>
      </c>
    </row>
    <row r="12" spans="2:10" ht="18" customHeight="1">
      <c r="B12" s="17" t="s">
        <v>29</v>
      </c>
      <c r="C12" s="18">
        <f>IF($B$6&gt;40,20,IF($B$6&lt;21,0,$B$6-20))</f>
        <v>5</v>
      </c>
      <c r="D12" s="19">
        <v>105</v>
      </c>
      <c r="E12" s="20">
        <f aca="true" t="shared" si="0" ref="E12:E17">C12*D12</f>
        <v>525</v>
      </c>
      <c r="G12" s="17" t="s">
        <v>29</v>
      </c>
      <c r="H12" s="18">
        <f>IF($G$6&gt;40,20,IF($G$6&lt;21,0,$G$6-20))</f>
        <v>5</v>
      </c>
      <c r="I12" s="19">
        <v>108</v>
      </c>
      <c r="J12" s="20">
        <f aca="true" t="shared" si="1" ref="J12:J17">H12*I12</f>
        <v>540</v>
      </c>
    </row>
    <row r="13" spans="2:10" ht="18" customHeight="1">
      <c r="B13" s="17" t="s">
        <v>81</v>
      </c>
      <c r="C13" s="18">
        <f>IF($B$6&gt;100,60,IF($B$6&lt;41,0,$B$6-40))</f>
        <v>0</v>
      </c>
      <c r="D13" s="19">
        <v>115</v>
      </c>
      <c r="E13" s="20">
        <f t="shared" si="0"/>
        <v>0</v>
      </c>
      <c r="G13" s="17" t="s">
        <v>81</v>
      </c>
      <c r="H13" s="18">
        <f>IF($G$6&gt;100,60,IF($G$6&lt;41,0,$G$6-40))</f>
        <v>0</v>
      </c>
      <c r="I13" s="19">
        <v>118.8</v>
      </c>
      <c r="J13" s="20">
        <f t="shared" si="1"/>
        <v>0</v>
      </c>
    </row>
    <row r="14" spans="2:10" ht="18" customHeight="1">
      <c r="B14" s="17" t="s">
        <v>42</v>
      </c>
      <c r="C14" s="18">
        <f>IF($B$6&gt;200,100,IF($B$6&lt;101,0,$B$6-100))</f>
        <v>0</v>
      </c>
      <c r="D14" s="19">
        <v>126</v>
      </c>
      <c r="E14" s="20">
        <f t="shared" si="0"/>
        <v>0</v>
      </c>
      <c r="G14" s="17" t="s">
        <v>82</v>
      </c>
      <c r="H14" s="18">
        <f>IF($G$6&gt;200,100,IF($G$6&lt;101,0,$G$6-100))</f>
        <v>0</v>
      </c>
      <c r="I14" s="19">
        <v>129.6</v>
      </c>
      <c r="J14" s="20">
        <f t="shared" si="1"/>
        <v>0</v>
      </c>
    </row>
    <row r="15" spans="2:10" ht="18" customHeight="1">
      <c r="B15" s="17" t="s">
        <v>83</v>
      </c>
      <c r="C15" s="18">
        <f>IF($B$6&gt;400,200,IF($B$6&lt;201,0,$B$6-200))</f>
        <v>0</v>
      </c>
      <c r="D15" s="19">
        <v>147</v>
      </c>
      <c r="E15" s="20">
        <f t="shared" si="0"/>
        <v>0</v>
      </c>
      <c r="G15" s="17" t="s">
        <v>83</v>
      </c>
      <c r="H15" s="18">
        <f>IF($G$6&gt;400,200,IF($G$6&lt;201,0,$G$6-200))</f>
        <v>0</v>
      </c>
      <c r="I15" s="19">
        <v>151.2</v>
      </c>
      <c r="J15" s="20">
        <f t="shared" si="1"/>
        <v>0</v>
      </c>
    </row>
    <row r="16" spans="2:10" ht="18" customHeight="1">
      <c r="B16" s="17" t="s">
        <v>84</v>
      </c>
      <c r="C16" s="18">
        <f>IF($B$6&gt;1000,600,IF($B$6&lt;401,0,$B$6-400))</f>
        <v>0</v>
      </c>
      <c r="D16" s="19">
        <v>168</v>
      </c>
      <c r="E16" s="20">
        <f t="shared" si="0"/>
        <v>0</v>
      </c>
      <c r="G16" s="17" t="s">
        <v>84</v>
      </c>
      <c r="H16" s="18">
        <f>IF($G$6&gt;1000,600,IF($G$6&lt;401,0,$G$6-400))</f>
        <v>0</v>
      </c>
      <c r="I16" s="19">
        <v>172.8</v>
      </c>
      <c r="J16" s="20">
        <f t="shared" si="1"/>
        <v>0</v>
      </c>
    </row>
    <row r="17" spans="2:10" ht="18" customHeight="1" thickBot="1">
      <c r="B17" s="21" t="s">
        <v>80</v>
      </c>
      <c r="C17" s="22">
        <f>IF($B$6&gt;1000,$B$6-1000,0)</f>
        <v>0</v>
      </c>
      <c r="D17" s="23">
        <v>199</v>
      </c>
      <c r="E17" s="24">
        <f t="shared" si="0"/>
        <v>0</v>
      </c>
      <c r="G17" s="21" t="s">
        <v>80</v>
      </c>
      <c r="H17" s="22">
        <f>IF($G$6&gt;1000,$G$6-1000,0)</f>
        <v>0</v>
      </c>
      <c r="I17" s="23">
        <v>205.2</v>
      </c>
      <c r="J17" s="24">
        <f t="shared" si="1"/>
        <v>0</v>
      </c>
    </row>
    <row r="18" spans="2:10" ht="18" customHeight="1" thickBot="1">
      <c r="B18" s="25" t="s">
        <v>34</v>
      </c>
      <c r="C18" s="26">
        <f>SUM(C11:C17)</f>
        <v>25</v>
      </c>
      <c r="D18" s="27" t="s">
        <v>35</v>
      </c>
      <c r="E18" s="28">
        <f>SUM(E11:E17)</f>
        <v>2625</v>
      </c>
      <c r="G18" s="25" t="s">
        <v>34</v>
      </c>
      <c r="H18" s="26">
        <f>SUM(H11:H17)</f>
        <v>25</v>
      </c>
      <c r="I18" s="27" t="s">
        <v>35</v>
      </c>
      <c r="J18" s="28">
        <f>SUM(J11:J17)</f>
        <v>2700</v>
      </c>
    </row>
  </sheetData>
  <sheetProtection/>
  <mergeCells count="1">
    <mergeCell ref="G2:H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E19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19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ROUNDDOWN(SUM(D11:D18),0)</f>
        <v>3234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64" t="s">
        <v>118</v>
      </c>
      <c r="B11" s="165">
        <v>0</v>
      </c>
      <c r="C11" s="174">
        <v>1100</v>
      </c>
      <c r="D11" s="170">
        <f>C11</f>
        <v>1100</v>
      </c>
    </row>
    <row r="12" spans="1:4" s="12" customFormat="1" ht="19.5" customHeight="1">
      <c r="A12" s="13" t="s">
        <v>119</v>
      </c>
      <c r="B12" s="14">
        <f>IF(A6&gt;10,10,A6)</f>
        <v>10</v>
      </c>
      <c r="C12" s="175">
        <v>55</v>
      </c>
      <c r="D12" s="171">
        <f aca="true" t="shared" si="0" ref="D12:D18">B12*C12</f>
        <v>550</v>
      </c>
    </row>
    <row r="13" spans="1:4" s="12" customFormat="1" ht="19.5" customHeight="1">
      <c r="A13" s="17" t="s">
        <v>28</v>
      </c>
      <c r="B13" s="18">
        <f>IF($A$6&gt;20,10,IF($A$6&lt;11,0,$A$6-10))</f>
        <v>10</v>
      </c>
      <c r="C13" s="175">
        <v>77</v>
      </c>
      <c r="D13" s="171">
        <f t="shared" si="0"/>
        <v>770</v>
      </c>
    </row>
    <row r="14" spans="1:4" s="12" customFormat="1" ht="19.5" customHeight="1">
      <c r="A14" s="17" t="s">
        <v>29</v>
      </c>
      <c r="B14" s="18">
        <f>IF($A$6&gt;40,20,IF($A$6&lt;21,0,$A$6-20))</f>
        <v>5</v>
      </c>
      <c r="C14" s="175">
        <v>162.8</v>
      </c>
      <c r="D14" s="171">
        <f t="shared" si="0"/>
        <v>814</v>
      </c>
    </row>
    <row r="15" spans="1:4" s="12" customFormat="1" ht="19.5" customHeight="1">
      <c r="A15" s="17" t="s">
        <v>30</v>
      </c>
      <c r="B15" s="18">
        <f>IF($A$6&gt;100,60,IF($A$6&lt;41,0,$A$6-40))</f>
        <v>0</v>
      </c>
      <c r="C15" s="175">
        <v>183.7</v>
      </c>
      <c r="D15" s="171">
        <f t="shared" si="0"/>
        <v>0</v>
      </c>
    </row>
    <row r="16" spans="1:4" s="12" customFormat="1" ht="19.5" customHeight="1">
      <c r="A16" s="17" t="s">
        <v>31</v>
      </c>
      <c r="B16" s="18">
        <f>IF($A$6&gt;200,100,IF($A$6&lt;101,0,$A$6-100))</f>
        <v>0</v>
      </c>
      <c r="C16" s="175">
        <v>194.7</v>
      </c>
      <c r="D16" s="171">
        <f t="shared" si="0"/>
        <v>0</v>
      </c>
    </row>
    <row r="17" spans="1:4" s="12" customFormat="1" ht="19.5" customHeight="1">
      <c r="A17" s="17" t="s">
        <v>32</v>
      </c>
      <c r="B17" s="18">
        <f>IF($A$6&gt;400,200,IF($A$6&lt;201,0,$A$6-200))</f>
        <v>0</v>
      </c>
      <c r="C17" s="175">
        <v>209</v>
      </c>
      <c r="D17" s="171">
        <f t="shared" si="0"/>
        <v>0</v>
      </c>
    </row>
    <row r="18" spans="1:4" s="12" customFormat="1" ht="19.5" customHeight="1" thickBot="1">
      <c r="A18" s="21" t="s">
        <v>33</v>
      </c>
      <c r="B18" s="22">
        <f>IF($A$6&gt;400,$A$6-400,0)</f>
        <v>0</v>
      </c>
      <c r="C18" s="176">
        <v>222.2</v>
      </c>
      <c r="D18" s="172">
        <f t="shared" si="0"/>
        <v>0</v>
      </c>
    </row>
    <row r="19" spans="1:4" s="12" customFormat="1" ht="19.5" customHeight="1" thickBot="1">
      <c r="A19" s="25" t="s">
        <v>34</v>
      </c>
      <c r="B19" s="26">
        <f>SUM(B11:B18)</f>
        <v>25</v>
      </c>
      <c r="C19" s="27" t="s">
        <v>35</v>
      </c>
      <c r="D19" s="173">
        <f>SUM(D11:D18)</f>
        <v>3234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B2:J19"/>
  <sheetViews>
    <sheetView zoomScalePageLayoutView="0" workbookViewId="0" topLeftCell="A1">
      <selection activeCell="B6" sqref="B6"/>
    </sheetView>
  </sheetViews>
  <sheetFormatPr defaultColWidth="9.00390625" defaultRowHeight="18" customHeight="1"/>
  <cols>
    <col min="2" max="2" width="26.375" style="0" bestFit="1" customWidth="1"/>
    <col min="3" max="3" width="16.75390625" style="0" bestFit="1" customWidth="1"/>
    <col min="4" max="4" width="11.50390625" style="0" bestFit="1" customWidth="1"/>
    <col min="5" max="5" width="24.00390625" style="0" bestFit="1" customWidth="1"/>
    <col min="7" max="7" width="26.375" style="0" bestFit="1" customWidth="1"/>
    <col min="8" max="8" width="16.75390625" style="0" bestFit="1" customWidth="1"/>
    <col min="9" max="9" width="11.50390625" style="0" bestFit="1" customWidth="1"/>
    <col min="10" max="10" width="24.00390625" style="0" bestFit="1" customWidth="1"/>
  </cols>
  <sheetData>
    <row r="2" spans="2:8" ht="18" customHeight="1" thickBot="1">
      <c r="B2" s="112" t="s">
        <v>91</v>
      </c>
      <c r="G2" s="254" t="s">
        <v>92</v>
      </c>
      <c r="H2" s="254"/>
    </row>
    <row r="3" spans="2:10" ht="18" customHeight="1" thickBot="1">
      <c r="B3" s="1" t="s">
        <v>21</v>
      </c>
      <c r="C3" s="1"/>
      <c r="D3" s="29"/>
      <c r="E3" s="30" t="s">
        <v>22</v>
      </c>
      <c r="G3" s="1" t="s">
        <v>21</v>
      </c>
      <c r="H3" s="1"/>
      <c r="I3" s="29"/>
      <c r="J3" s="30" t="s">
        <v>22</v>
      </c>
    </row>
    <row r="4" spans="2:10" ht="18" customHeight="1" thickBot="1">
      <c r="B4" s="1"/>
      <c r="C4" s="1"/>
      <c r="D4" s="1"/>
      <c r="E4" s="1"/>
      <c r="G4" s="1"/>
      <c r="H4" s="1"/>
      <c r="I4" s="1"/>
      <c r="J4" s="1"/>
    </row>
    <row r="5" spans="2:10" ht="18" customHeight="1" thickBot="1">
      <c r="B5" s="4" t="s">
        <v>14</v>
      </c>
      <c r="C5" s="5" t="s">
        <v>90</v>
      </c>
      <c r="D5" s="6"/>
      <c r="E5" s="6"/>
      <c r="G5" s="4" t="s">
        <v>14</v>
      </c>
      <c r="H5" s="5" t="s">
        <v>90</v>
      </c>
      <c r="I5" s="6"/>
      <c r="J5" s="6"/>
    </row>
    <row r="6" spans="2:10" ht="18" customHeight="1" thickBot="1">
      <c r="B6" s="7">
        <f>'入力表'!C60</f>
        <v>25</v>
      </c>
      <c r="C6" s="8">
        <f>ROUNDDOWN(E19,0)</f>
        <v>2677</v>
      </c>
      <c r="D6" s="6"/>
      <c r="E6" s="6"/>
      <c r="G6" s="7">
        <f>'入力表'!C60</f>
        <v>25</v>
      </c>
      <c r="H6" s="8">
        <f>ROUNDDOWN(J19,0)</f>
        <v>2754</v>
      </c>
      <c r="I6" s="6"/>
      <c r="J6" s="6"/>
    </row>
    <row r="7" spans="2:10" ht="18" customHeight="1">
      <c r="B7" s="1"/>
      <c r="C7" s="1"/>
      <c r="D7" s="1"/>
      <c r="E7" s="1"/>
      <c r="G7" s="1"/>
      <c r="H7" s="1"/>
      <c r="I7" s="1"/>
      <c r="J7" s="1"/>
    </row>
    <row r="8" spans="2:10" ht="18" customHeight="1">
      <c r="B8" s="1" t="s">
        <v>23</v>
      </c>
      <c r="C8" s="1"/>
      <c r="D8" s="1"/>
      <c r="E8" s="1"/>
      <c r="G8" s="1" t="s">
        <v>23</v>
      </c>
      <c r="H8" s="1"/>
      <c r="I8" s="1"/>
      <c r="J8" s="1"/>
    </row>
    <row r="9" spans="2:10" ht="18" customHeight="1" thickBot="1">
      <c r="B9" s="1"/>
      <c r="C9" s="1"/>
      <c r="D9" s="1"/>
      <c r="E9" s="1"/>
      <c r="G9" s="1"/>
      <c r="H9" s="1"/>
      <c r="I9" s="1"/>
      <c r="J9" s="1"/>
    </row>
    <row r="10" spans="2:10" ht="18" customHeight="1" thickBot="1">
      <c r="B10" s="9" t="s">
        <v>24</v>
      </c>
      <c r="C10" s="10" t="s">
        <v>25</v>
      </c>
      <c r="D10" s="10" t="s">
        <v>26</v>
      </c>
      <c r="E10" s="11" t="s">
        <v>13</v>
      </c>
      <c r="G10" s="9" t="s">
        <v>24</v>
      </c>
      <c r="H10" s="10" t="s">
        <v>25</v>
      </c>
      <c r="I10" s="10" t="s">
        <v>26</v>
      </c>
      <c r="J10" s="11" t="s">
        <v>13</v>
      </c>
    </row>
    <row r="11" spans="2:10" ht="18" customHeight="1">
      <c r="B11" s="13" t="s">
        <v>75</v>
      </c>
      <c r="C11" s="14">
        <f>IF(B6&gt;20,20,B6)</f>
        <v>20</v>
      </c>
      <c r="D11" s="15">
        <v>2100</v>
      </c>
      <c r="E11" s="16">
        <f>D11</f>
        <v>2100</v>
      </c>
      <c r="G11" s="13" t="s">
        <v>75</v>
      </c>
      <c r="H11" s="14">
        <f>IF(G6&gt;20,20,G6)</f>
        <v>20</v>
      </c>
      <c r="I11" s="15">
        <v>2160</v>
      </c>
      <c r="J11" s="16">
        <f>I11</f>
        <v>2160</v>
      </c>
    </row>
    <row r="12" spans="2:10" ht="18" customHeight="1">
      <c r="B12" s="17" t="s">
        <v>29</v>
      </c>
      <c r="C12" s="18">
        <f>IF($B$6&gt;40,20,IF($B$6&lt;21,0,$B$6-20))</f>
        <v>5</v>
      </c>
      <c r="D12" s="19">
        <v>115.5</v>
      </c>
      <c r="E12" s="20">
        <f aca="true" t="shared" si="0" ref="E12:E18">C12*D12</f>
        <v>577.5</v>
      </c>
      <c r="G12" s="17" t="s">
        <v>29</v>
      </c>
      <c r="H12" s="18">
        <f>IF($G$6&gt;40,20,IF($G$6&lt;21,0,$G$6-20))</f>
        <v>5</v>
      </c>
      <c r="I12" s="19">
        <v>118.8</v>
      </c>
      <c r="J12" s="20">
        <f aca="true" t="shared" si="1" ref="J12:J18">H12*I12</f>
        <v>594</v>
      </c>
    </row>
    <row r="13" spans="2:10" ht="18" customHeight="1">
      <c r="B13" s="17" t="s">
        <v>76</v>
      </c>
      <c r="C13" s="18">
        <f>IF($B$6&gt;60,20,IF($B$6&lt;41,0,$B$6-40))</f>
        <v>0</v>
      </c>
      <c r="D13" s="19">
        <v>126</v>
      </c>
      <c r="E13" s="20">
        <f t="shared" si="0"/>
        <v>0</v>
      </c>
      <c r="G13" s="17" t="s">
        <v>76</v>
      </c>
      <c r="H13" s="18">
        <f>IF($G$6&gt;60,20,IF($G$6&lt;41,0,$G$6-40))</f>
        <v>0</v>
      </c>
      <c r="I13" s="19">
        <v>129.6</v>
      </c>
      <c r="J13" s="20">
        <f t="shared" si="1"/>
        <v>0</v>
      </c>
    </row>
    <row r="14" spans="2:10" ht="18" customHeight="1">
      <c r="B14" s="17" t="s">
        <v>85</v>
      </c>
      <c r="C14" s="18">
        <f>IF($B$6&gt;100,40,IF($B$6&lt;61,0,$B$6-60))</f>
        <v>0</v>
      </c>
      <c r="D14" s="19">
        <v>141.75</v>
      </c>
      <c r="E14" s="20">
        <f t="shared" si="0"/>
        <v>0</v>
      </c>
      <c r="G14" s="17" t="s">
        <v>85</v>
      </c>
      <c r="H14" s="18">
        <f>IF($G$6&gt;100,40,IF($G$6&lt;61,0,$G$6-60))</f>
        <v>0</v>
      </c>
      <c r="I14" s="19">
        <v>145.8</v>
      </c>
      <c r="J14" s="20">
        <f t="shared" si="1"/>
        <v>0</v>
      </c>
    </row>
    <row r="15" spans="2:10" ht="18" customHeight="1">
      <c r="B15" s="17" t="s">
        <v>86</v>
      </c>
      <c r="C15" s="18">
        <f>IF($B$6&gt;200,100,IF($B$6&lt;101,0,$B$6-100))</f>
        <v>0</v>
      </c>
      <c r="D15" s="19">
        <v>157.5</v>
      </c>
      <c r="E15" s="20">
        <f t="shared" si="0"/>
        <v>0</v>
      </c>
      <c r="G15" s="17" t="s">
        <v>86</v>
      </c>
      <c r="H15" s="18">
        <f>IF($G$6&gt;200,100,IF($G$6&lt;101,0,$G$6-100))</f>
        <v>0</v>
      </c>
      <c r="I15" s="19">
        <v>162</v>
      </c>
      <c r="J15" s="20">
        <f t="shared" si="1"/>
        <v>0</v>
      </c>
    </row>
    <row r="16" spans="2:10" ht="18" customHeight="1">
      <c r="B16" s="17" t="s">
        <v>83</v>
      </c>
      <c r="C16" s="18">
        <f>IF($B$6&gt;400,200,IF($B$6&lt;201,0,$B$6-200))</f>
        <v>0</v>
      </c>
      <c r="D16" s="19">
        <v>173.25</v>
      </c>
      <c r="E16" s="20">
        <f t="shared" si="0"/>
        <v>0</v>
      </c>
      <c r="G16" s="17" t="s">
        <v>87</v>
      </c>
      <c r="H16" s="18">
        <f>IF($G$6&gt;400,200,IF($G$6&lt;201,0,$G$6-200))</f>
        <v>0</v>
      </c>
      <c r="I16" s="19">
        <v>178.2</v>
      </c>
      <c r="J16" s="20">
        <f t="shared" si="1"/>
        <v>0</v>
      </c>
    </row>
    <row r="17" spans="2:10" ht="18" customHeight="1">
      <c r="B17" s="17" t="s">
        <v>88</v>
      </c>
      <c r="C17" s="18">
        <f>IF($B$6&gt;1000,600,IF($B$6&lt;401,0,$B$6-400))</f>
        <v>0</v>
      </c>
      <c r="D17" s="19">
        <v>189</v>
      </c>
      <c r="E17" s="20">
        <f t="shared" si="0"/>
        <v>0</v>
      </c>
      <c r="G17" s="17" t="s">
        <v>88</v>
      </c>
      <c r="H17" s="18">
        <f>IF($G$6&gt;1000,600,IF($G$6&lt;401,0,$G$6-400))</f>
        <v>0</v>
      </c>
      <c r="I17" s="19">
        <v>194.4</v>
      </c>
      <c r="J17" s="20">
        <f>H17*I17</f>
        <v>0</v>
      </c>
    </row>
    <row r="18" spans="2:10" ht="18" customHeight="1" thickBot="1">
      <c r="B18" s="21" t="s">
        <v>80</v>
      </c>
      <c r="C18" s="22">
        <f>IF($B$6&gt;1000,$B$6-1000,0)</f>
        <v>0</v>
      </c>
      <c r="D18" s="23">
        <v>204.75</v>
      </c>
      <c r="E18" s="24">
        <f t="shared" si="0"/>
        <v>0</v>
      </c>
      <c r="G18" s="21" t="s">
        <v>80</v>
      </c>
      <c r="H18" s="22">
        <f>IF($G$6&gt;1000,$G$6-1000,0)</f>
        <v>0</v>
      </c>
      <c r="I18" s="23">
        <v>210.6</v>
      </c>
      <c r="J18" s="24">
        <f t="shared" si="1"/>
        <v>0</v>
      </c>
    </row>
    <row r="19" spans="2:10" ht="18" customHeight="1" thickBot="1">
      <c r="B19" s="25" t="s">
        <v>34</v>
      </c>
      <c r="C19" s="26">
        <f>SUM(C11:C18)</f>
        <v>25</v>
      </c>
      <c r="D19" s="27" t="s">
        <v>35</v>
      </c>
      <c r="E19" s="28">
        <f>SUM(E11:E18)</f>
        <v>2677.5</v>
      </c>
      <c r="G19" s="25" t="s">
        <v>34</v>
      </c>
      <c r="H19" s="26">
        <f>SUM(H11:H18)</f>
        <v>25</v>
      </c>
      <c r="I19" s="27" t="s">
        <v>35</v>
      </c>
      <c r="J19" s="28">
        <f>SUM(J11:J18)</f>
        <v>2754</v>
      </c>
    </row>
  </sheetData>
  <sheetProtection/>
  <mergeCells count="1">
    <mergeCell ref="G2:H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E19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36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ROUNDDOWN(SUM(D11:D18),0)</f>
        <v>3454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64" t="s">
        <v>118</v>
      </c>
      <c r="B11" s="166">
        <v>0</v>
      </c>
      <c r="C11" s="179">
        <v>1320</v>
      </c>
      <c r="D11" s="177">
        <f>C11</f>
        <v>1320</v>
      </c>
    </row>
    <row r="12" spans="1:4" s="12" customFormat="1" ht="19.5" customHeight="1">
      <c r="A12" s="13" t="s">
        <v>119</v>
      </c>
      <c r="B12" s="14">
        <f>IF(A6&gt;10,10,A6)</f>
        <v>10</v>
      </c>
      <c r="C12" s="180">
        <v>55</v>
      </c>
      <c r="D12" s="171">
        <f aca="true" t="shared" si="0" ref="D12:D18">B12*C12</f>
        <v>550</v>
      </c>
    </row>
    <row r="13" spans="1:4" s="12" customFormat="1" ht="19.5" customHeight="1">
      <c r="A13" s="17" t="s">
        <v>28</v>
      </c>
      <c r="B13" s="18">
        <f>IF($A$6&gt;20,10,IF($A$6&lt;11,0,$A$6-10))</f>
        <v>10</v>
      </c>
      <c r="C13" s="181">
        <v>77</v>
      </c>
      <c r="D13" s="171">
        <f t="shared" si="0"/>
        <v>770</v>
      </c>
    </row>
    <row r="14" spans="1:4" s="12" customFormat="1" ht="19.5" customHeight="1">
      <c r="A14" s="17" t="s">
        <v>29</v>
      </c>
      <c r="B14" s="18">
        <f>IF($A$6&gt;40,20,IF($A$6&lt;21,0,$A$6-20))</f>
        <v>5</v>
      </c>
      <c r="C14" s="181">
        <v>162.8</v>
      </c>
      <c r="D14" s="171">
        <f t="shared" si="0"/>
        <v>814</v>
      </c>
    </row>
    <row r="15" spans="1:4" s="12" customFormat="1" ht="19.5" customHeight="1">
      <c r="A15" s="17" t="s">
        <v>30</v>
      </c>
      <c r="B15" s="18">
        <f>IF($A$6&gt;100,60,IF($A$6&lt;41,0,$A$6-40))</f>
        <v>0</v>
      </c>
      <c r="C15" s="181">
        <v>183.7</v>
      </c>
      <c r="D15" s="171">
        <f t="shared" si="0"/>
        <v>0</v>
      </c>
    </row>
    <row r="16" spans="1:4" s="12" customFormat="1" ht="19.5" customHeight="1">
      <c r="A16" s="17" t="s">
        <v>31</v>
      </c>
      <c r="B16" s="18">
        <f>IF($A$6&gt;200,100,IF($A$6&lt;101,0,$A$6-100))</f>
        <v>0</v>
      </c>
      <c r="C16" s="181">
        <v>194.7</v>
      </c>
      <c r="D16" s="171">
        <f t="shared" si="0"/>
        <v>0</v>
      </c>
    </row>
    <row r="17" spans="1:4" s="12" customFormat="1" ht="19.5" customHeight="1">
      <c r="A17" s="17" t="s">
        <v>32</v>
      </c>
      <c r="B17" s="18">
        <f>IF($A$6&gt;400,200,IF($A$6&lt;201,0,$A$6-200))</f>
        <v>0</v>
      </c>
      <c r="C17" s="181">
        <v>209</v>
      </c>
      <c r="D17" s="171">
        <f t="shared" si="0"/>
        <v>0</v>
      </c>
    </row>
    <row r="18" spans="1:4" s="12" customFormat="1" ht="19.5" customHeight="1" thickBot="1">
      <c r="A18" s="21" t="s">
        <v>33</v>
      </c>
      <c r="B18" s="22">
        <f>IF($A$6&gt;400,$A$6-400,0)</f>
        <v>0</v>
      </c>
      <c r="C18" s="182">
        <v>222.2</v>
      </c>
      <c r="D18" s="172">
        <f t="shared" si="0"/>
        <v>0</v>
      </c>
    </row>
    <row r="19" spans="1:4" s="12" customFormat="1" ht="19.5" customHeight="1" thickBot="1">
      <c r="A19" s="25" t="s">
        <v>34</v>
      </c>
      <c r="B19" s="26">
        <f>SUM(B11:B18)</f>
        <v>25</v>
      </c>
      <c r="C19" s="178" t="s">
        <v>37</v>
      </c>
      <c r="D19" s="173">
        <f>SUM(D11:D18)</f>
        <v>3454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E17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38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5544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4730</v>
      </c>
      <c r="D11" s="183">
        <f>C11</f>
        <v>4730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75">
        <v>162.8</v>
      </c>
      <c r="D12" s="171">
        <f>B12*C12</f>
        <v>814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37</v>
      </c>
      <c r="D17" s="173">
        <f>SUM(D11:D16)</f>
        <v>5544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E17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45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7854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7040</v>
      </c>
      <c r="D11" s="183">
        <f>C11</f>
        <v>7040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75">
        <v>162.8</v>
      </c>
      <c r="D12" s="171">
        <f>B12*C12</f>
        <v>814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37</v>
      </c>
      <c r="D17" s="173">
        <f>SUM(D11:D16)</f>
        <v>7854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E17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46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14014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13200</v>
      </c>
      <c r="D11" s="183">
        <f>C11</f>
        <v>13200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75">
        <v>162.8</v>
      </c>
      <c r="D12" s="171">
        <f>B12*C12</f>
        <v>814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37</v>
      </c>
      <c r="D17" s="173">
        <f>SUM(D11:D16)</f>
        <v>14014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E17"/>
  <sheetViews>
    <sheetView zoomScalePageLayoutView="0" workbookViewId="0" topLeftCell="A7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47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21384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20570</v>
      </c>
      <c r="D11" s="183">
        <f>C11</f>
        <v>20570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75">
        <v>162.8</v>
      </c>
      <c r="D12" s="171">
        <f>B12*C12</f>
        <v>814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37</v>
      </c>
      <c r="D17" s="173">
        <f>SUM(D11:D16)</f>
        <v>21384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E17"/>
  <sheetViews>
    <sheetView zoomScalePageLayoutView="0" workbookViewId="0" topLeftCell="A7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48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46024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45210</v>
      </c>
      <c r="D11" s="183">
        <f>C11</f>
        <v>45210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75">
        <v>162.8</v>
      </c>
      <c r="D12" s="171">
        <f>B12*C12</f>
        <v>814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37</v>
      </c>
      <c r="D17" s="173">
        <f>SUM(D11:D16)</f>
        <v>46024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E17"/>
  <sheetViews>
    <sheetView zoomScalePageLayoutView="0" workbookViewId="0" topLeftCell="A7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49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25</v>
      </c>
      <c r="B6" s="8">
        <f>ROUNDDOWN(SUM(D11:D16),0)</f>
        <v>72974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72160</v>
      </c>
      <c r="D11" s="183">
        <f>C11</f>
        <v>72160</v>
      </c>
    </row>
    <row r="12" spans="1:4" s="12" customFormat="1" ht="19.5" customHeight="1">
      <c r="A12" s="17" t="s">
        <v>40</v>
      </c>
      <c r="B12" s="18">
        <f>IF($A$6&gt;40,20,IF($A$6&lt;21,0,$A$6-20))</f>
        <v>5</v>
      </c>
      <c r="C12" s="175">
        <v>162.8</v>
      </c>
      <c r="D12" s="171">
        <f>B12*C12</f>
        <v>814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25</v>
      </c>
      <c r="C17" s="27" t="s">
        <v>37</v>
      </c>
      <c r="D17" s="173">
        <f>SUM(D11:D16)</f>
        <v>72974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岡部町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2454</dc:creator>
  <cp:keywords/>
  <dc:description/>
  <cp:lastModifiedBy>admin</cp:lastModifiedBy>
  <cp:lastPrinted>2017-01-27T07:40:20Z</cp:lastPrinted>
  <dcterms:created xsi:type="dcterms:W3CDTF">2009-05-01T00:48:49Z</dcterms:created>
  <dcterms:modified xsi:type="dcterms:W3CDTF">2019-07-18T01:58:55Z</dcterms:modified>
  <cp:category/>
  <cp:version/>
  <cp:contentType/>
  <cp:contentStatus/>
</cp:coreProperties>
</file>